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codeName="현재_통합_문서" defaultThemeVersion="166925"/>
  <mc:AlternateContent xmlns:mc="http://schemas.openxmlformats.org/markup-compatibility/2006">
    <mc:Choice Requires="x15">
      <x15ac:absPath xmlns:x15ac="http://schemas.microsoft.com/office/spreadsheetml/2010/11/ac" url="C:\Users\kycho\Desktop\"/>
    </mc:Choice>
  </mc:AlternateContent>
  <xr:revisionPtr revIDLastSave="0" documentId="8_{B6B242D5-0A26-4131-87B5-2559C28DD8EE}" xr6:coauthVersionLast="47" xr6:coauthVersionMax="47" xr10:uidLastSave="{00000000-0000-0000-0000-000000000000}"/>
  <bookViews>
    <workbookView xWindow="-120" yWindow="-120" windowWidth="29040" windowHeight="15840" xr2:uid="{C148A153-A63B-4793-A47E-0A1C2B2196EC}"/>
  </bookViews>
  <sheets>
    <sheet name="취합" sheetId="2" r:id="rId1"/>
    <sheet name="가격계산_참고" sheetId="7" state="hidden" r:id="rId2"/>
    <sheet name="Raw" sheetId="5" state="hidden" r:id="rId3"/>
    <sheet name="보조" sheetId="1" state="hidden" r:id="rId4"/>
  </sheets>
  <definedNames>
    <definedName name="_xlnm._FilterDatabase" localSheetId="0" hidden="1">취합!$A$10:$AE$12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1" i="2" l="1"/>
  <c r="N10" i="2"/>
  <c r="N13" i="2"/>
  <c r="R13" i="2" s="1"/>
  <c r="N14" i="2"/>
  <c r="R14" i="2" s="1"/>
  <c r="N15" i="2"/>
  <c r="R15" i="2" s="1"/>
  <c r="N12" i="2"/>
  <c r="R12" i="2" s="1"/>
  <c r="L20" i="7"/>
  <c r="L19" i="7"/>
  <c r="L18" i="7"/>
  <c r="L17" i="7"/>
  <c r="L16" i="7"/>
  <c r="L15" i="7"/>
  <c r="L14" i="7"/>
  <c r="L13" i="7"/>
  <c r="L12" i="7"/>
  <c r="L11" i="7"/>
  <c r="L10" i="7"/>
  <c r="L9" i="7"/>
  <c r="L8" i="7"/>
  <c r="L7" i="7"/>
  <c r="L6" i="7"/>
  <c r="L5" i="7"/>
  <c r="L4" i="7"/>
  <c r="AE15" i="2"/>
  <c r="AC15" i="2"/>
  <c r="Z15" i="2"/>
  <c r="W15" i="2"/>
  <c r="V15" i="2"/>
  <c r="Y15" i="2" s="1"/>
  <c r="S15" i="2"/>
  <c r="T15" i="2" s="1"/>
  <c r="AE14" i="2"/>
  <c r="AC14" i="2"/>
  <c r="Z14" i="2"/>
  <c r="W14" i="2"/>
  <c r="V14" i="2"/>
  <c r="X14" i="2" s="1"/>
  <c r="S14" i="2"/>
  <c r="U14" i="2" s="1"/>
  <c r="AE13" i="2"/>
  <c r="AC13" i="2"/>
  <c r="Z13" i="2"/>
  <c r="W13" i="2"/>
  <c r="V13" i="2"/>
  <c r="Y13" i="2" s="1"/>
  <c r="S13" i="2"/>
  <c r="T13" i="2" s="1"/>
  <c r="S12" i="2"/>
  <c r="T12" i="2" s="1"/>
  <c r="V12" i="2"/>
  <c r="X12" i="2" s="1"/>
  <c r="W12" i="2"/>
  <c r="Z12" i="2"/>
  <c r="AC12" i="2"/>
  <c r="AE12" i="2"/>
  <c r="Q15" i="2" l="1"/>
  <c r="Q13" i="2"/>
  <c r="Q12" i="2"/>
  <c r="U15" i="2"/>
  <c r="X15" i="2"/>
  <c r="Y14" i="2"/>
  <c r="T14" i="2"/>
  <c r="Q14" i="2" s="1"/>
  <c r="U13" i="2"/>
  <c r="X13" i="2"/>
  <c r="Y12" i="2"/>
  <c r="V11" i="7"/>
  <c r="Q11" i="7"/>
  <c r="W11" i="7" s="1"/>
  <c r="N11" i="7"/>
  <c r="V10" i="7"/>
  <c r="Q10" i="7"/>
  <c r="W10" i="7" s="1"/>
  <c r="N10" i="7"/>
  <c r="O10" i="7" s="1"/>
  <c r="V9" i="7"/>
  <c r="Q9" i="7"/>
  <c r="W9" i="7" s="1"/>
  <c r="N9" i="7"/>
  <c r="V8" i="7"/>
  <c r="Q8" i="7"/>
  <c r="W8" i="7" s="1"/>
  <c r="N8" i="7"/>
  <c r="V20" i="7"/>
  <c r="Q20" i="7"/>
  <c r="W20" i="7" s="1"/>
  <c r="N20" i="7"/>
  <c r="O20" i="7" s="1"/>
  <c r="V19" i="7"/>
  <c r="Q19" i="7"/>
  <c r="W19" i="7" s="1"/>
  <c r="N19" i="7"/>
  <c r="V18" i="7"/>
  <c r="Q18" i="7"/>
  <c r="W18" i="7" s="1"/>
  <c r="N18" i="7"/>
  <c r="V17" i="7"/>
  <c r="Q17" i="7"/>
  <c r="W17" i="7" s="1"/>
  <c r="N17" i="7"/>
  <c r="V16" i="7"/>
  <c r="Q16" i="7"/>
  <c r="W16" i="7" s="1"/>
  <c r="N16" i="7"/>
  <c r="V15" i="7"/>
  <c r="Q15" i="7"/>
  <c r="W15" i="7" s="1"/>
  <c r="N15" i="7"/>
  <c r="V14" i="7"/>
  <c r="Q14" i="7"/>
  <c r="W14" i="7" s="1"/>
  <c r="N14" i="7"/>
  <c r="V13" i="7"/>
  <c r="Q13" i="7"/>
  <c r="W13" i="7" s="1"/>
  <c r="N13" i="7"/>
  <c r="V12" i="7"/>
  <c r="Q12" i="7"/>
  <c r="W12" i="7" s="1"/>
  <c r="N12" i="7"/>
  <c r="V7" i="7"/>
  <c r="Q7" i="7"/>
  <c r="W7" i="7" s="1"/>
  <c r="N7" i="7"/>
  <c r="O7" i="7" s="1"/>
  <c r="V6" i="7"/>
  <c r="Q6" i="7"/>
  <c r="W6" i="7" s="1"/>
  <c r="N6" i="7"/>
  <c r="V5" i="7"/>
  <c r="Q5" i="7"/>
  <c r="W5" i="7" s="1"/>
  <c r="N5" i="7"/>
  <c r="V4" i="7"/>
  <c r="Q4" i="7"/>
  <c r="W4" i="7" s="1"/>
  <c r="N4" i="7"/>
  <c r="X10" i="7" l="1"/>
  <c r="Z10" i="7" s="1"/>
  <c r="AA10" i="7" s="1"/>
  <c r="X8" i="7"/>
  <c r="Z8" i="7" s="1"/>
  <c r="AA8" i="7" s="1"/>
  <c r="R7" i="7"/>
  <c r="O9" i="7"/>
  <c r="R9" i="7" s="1"/>
  <c r="P10" i="7"/>
  <c r="O8" i="7"/>
  <c r="R10" i="7"/>
  <c r="X11" i="7"/>
  <c r="Z11" i="7" s="1"/>
  <c r="X9" i="7"/>
  <c r="Z9" i="7" s="1"/>
  <c r="O11" i="7"/>
  <c r="P11" i="7" s="1"/>
  <c r="X15" i="7"/>
  <c r="Z15" i="7" s="1"/>
  <c r="AA15" i="7" s="1"/>
  <c r="O4" i="7"/>
  <c r="P4" i="7" s="1"/>
  <c r="X19" i="7"/>
  <c r="Z19" i="7" s="1"/>
  <c r="AA19" i="7" s="1"/>
  <c r="X4" i="7"/>
  <c r="Z4" i="7" s="1"/>
  <c r="AA4" i="7" s="1"/>
  <c r="X16" i="7"/>
  <c r="Z16" i="7" s="1"/>
  <c r="X13" i="7"/>
  <c r="Z13" i="7" s="1"/>
  <c r="O16" i="7"/>
  <c r="R16" i="7" s="1"/>
  <c r="X6" i="7"/>
  <c r="Z6" i="7" s="1"/>
  <c r="P7" i="7"/>
  <c r="X20" i="7"/>
  <c r="Z20" i="7" s="1"/>
  <c r="R20" i="7"/>
  <c r="P20" i="7"/>
  <c r="O5" i="7"/>
  <c r="R5" i="7" s="1"/>
  <c r="O13" i="7"/>
  <c r="R13" i="7" s="1"/>
  <c r="O6" i="7"/>
  <c r="X5" i="7"/>
  <c r="Z5" i="7" s="1"/>
  <c r="X12" i="7"/>
  <c r="Z12" i="7" s="1"/>
  <c r="O15" i="7"/>
  <c r="R15" i="7" s="1"/>
  <c r="X18" i="7"/>
  <c r="Z18" i="7" s="1"/>
  <c r="O19" i="7"/>
  <c r="O12" i="7"/>
  <c r="R12" i="7" s="1"/>
  <c r="X14" i="7"/>
  <c r="Z14" i="7" s="1"/>
  <c r="X17" i="7"/>
  <c r="Z17" i="7" s="1"/>
  <c r="O18" i="7"/>
  <c r="R18" i="7" s="1"/>
  <c r="X7" i="7"/>
  <c r="Z7" i="7" s="1"/>
  <c r="O14" i="7"/>
  <c r="R14" i="7" s="1"/>
  <c r="O17" i="7"/>
  <c r="R17" i="7" s="1"/>
  <c r="Y10" i="7" l="1"/>
  <c r="Y4" i="7"/>
  <c r="Y11" i="7"/>
  <c r="Y9" i="7"/>
  <c r="R4" i="7"/>
  <c r="AT10" i="7"/>
  <c r="AO10" i="7"/>
  <c r="AJ10" i="7"/>
  <c r="AE10" i="7" s="1"/>
  <c r="P8" i="7"/>
  <c r="AT11" i="7"/>
  <c r="AO11" i="7"/>
  <c r="AJ11" i="7"/>
  <c r="AE11" i="7" s="1"/>
  <c r="AA11" i="7"/>
  <c r="R11" i="7"/>
  <c r="Y8" i="7"/>
  <c r="P9" i="7"/>
  <c r="AA9" i="7"/>
  <c r="R8" i="7"/>
  <c r="Y19" i="7"/>
  <c r="Y13" i="7"/>
  <c r="P13" i="7"/>
  <c r="Y6" i="7"/>
  <c r="AO4" i="7"/>
  <c r="AJ4" i="7"/>
  <c r="AE4" i="7" s="1"/>
  <c r="AT4" i="7"/>
  <c r="Y16" i="7"/>
  <c r="P16" i="7"/>
  <c r="P12" i="7"/>
  <c r="Y7" i="7"/>
  <c r="Y17" i="7"/>
  <c r="AA14" i="7"/>
  <c r="AA18" i="7"/>
  <c r="Y15" i="7"/>
  <c r="R6" i="7"/>
  <c r="P6" i="7"/>
  <c r="AA16" i="7"/>
  <c r="P17" i="7"/>
  <c r="Y14" i="7"/>
  <c r="Y12" i="7"/>
  <c r="Y20" i="7"/>
  <c r="AA5" i="7"/>
  <c r="P5" i="7"/>
  <c r="AO20" i="7"/>
  <c r="AJ20" i="7"/>
  <c r="AE20" i="7" s="1"/>
  <c r="AT20" i="7"/>
  <c r="R19" i="7"/>
  <c r="AA12" i="7"/>
  <c r="AA20" i="7"/>
  <c r="P14" i="7"/>
  <c r="P15" i="7"/>
  <c r="P18" i="7"/>
  <c r="AA6" i="7"/>
  <c r="AA7" i="7"/>
  <c r="AA17" i="7"/>
  <c r="Y5" i="7"/>
  <c r="P19" i="7"/>
  <c r="AT7" i="7"/>
  <c r="AO7" i="7"/>
  <c r="AJ7" i="7"/>
  <c r="AE7" i="7" s="1"/>
  <c r="Y18" i="7"/>
  <c r="AA13" i="7"/>
  <c r="AO16" i="7" l="1"/>
  <c r="AT13" i="7"/>
  <c r="AT12" i="7"/>
  <c r="AB11" i="7"/>
  <c r="AC11" i="7" s="1"/>
  <c r="AT16" i="7"/>
  <c r="AJ16" i="7"/>
  <c r="AE16" i="7" s="1"/>
  <c r="AJ12" i="7"/>
  <c r="AE12" i="7" s="1"/>
  <c r="AO12" i="7"/>
  <c r="AJ13" i="7"/>
  <c r="AE13" i="7" s="1"/>
  <c r="AO13" i="7"/>
  <c r="AY11" i="7"/>
  <c r="AJ8" i="7"/>
  <c r="AE8" i="7" s="1"/>
  <c r="AO8" i="7"/>
  <c r="AT8" i="7"/>
  <c r="AO9" i="7"/>
  <c r="AJ9" i="7"/>
  <c r="AT9" i="7"/>
  <c r="AB10" i="7"/>
  <c r="AC10" i="7" s="1"/>
  <c r="AF10" i="7"/>
  <c r="AF11" i="7"/>
  <c r="AB20" i="7"/>
  <c r="AC20" i="7" s="1"/>
  <c r="AF4" i="7"/>
  <c r="M4" i="7" s="1"/>
  <c r="AB4" i="7"/>
  <c r="AC4" i="7" s="1"/>
  <c r="AF7" i="7"/>
  <c r="AO6" i="7"/>
  <c r="AJ6" i="7"/>
  <c r="AT6" i="7"/>
  <c r="AT19" i="7"/>
  <c r="AJ19" i="7"/>
  <c r="AO19" i="7"/>
  <c r="AT17" i="7"/>
  <c r="AO17" i="7"/>
  <c r="AJ17" i="7"/>
  <c r="AB7" i="7"/>
  <c r="AC7" i="7" s="1"/>
  <c r="AT18" i="7"/>
  <c r="AO18" i="7"/>
  <c r="AJ18" i="7"/>
  <c r="AE18" i="7" s="1"/>
  <c r="AT15" i="7"/>
  <c r="AJ15" i="7"/>
  <c r="AE15" i="7" s="1"/>
  <c r="AO15" i="7"/>
  <c r="AT14" i="7"/>
  <c r="AO14" i="7"/>
  <c r="AJ14" i="7"/>
  <c r="AE14" i="7" s="1"/>
  <c r="AJ5" i="7"/>
  <c r="AE5" i="7" s="1"/>
  <c r="AT5" i="7"/>
  <c r="AO5" i="7"/>
  <c r="AF20" i="7"/>
  <c r="AB16" i="7" l="1"/>
  <c r="AC16" i="7" s="1"/>
  <c r="AF16" i="7"/>
  <c r="H4" i="7"/>
  <c r="AF13" i="7"/>
  <c r="AY4" i="7"/>
  <c r="AB13" i="7"/>
  <c r="AC13" i="7" s="1"/>
  <c r="AB12" i="7"/>
  <c r="AC12" i="7" s="1"/>
  <c r="AY12" i="7"/>
  <c r="AF12" i="7"/>
  <c r="M11" i="7"/>
  <c r="H11" i="7"/>
  <c r="AE9" i="7"/>
  <c r="AF9" i="7"/>
  <c r="AB8" i="7"/>
  <c r="AC8" i="7" s="1"/>
  <c r="AB9" i="7"/>
  <c r="AC9" i="7" s="1"/>
  <c r="AY10" i="7"/>
  <c r="H10" i="7"/>
  <c r="AF8" i="7"/>
  <c r="AF18" i="7"/>
  <c r="AB17" i="7"/>
  <c r="AC17" i="7" s="1"/>
  <c r="AF19" i="7"/>
  <c r="AE19" i="7"/>
  <c r="AB6" i="7"/>
  <c r="AC6" i="7" s="1"/>
  <c r="AF14" i="7"/>
  <c r="H20" i="7"/>
  <c r="AY20" i="7"/>
  <c r="AB14" i="7"/>
  <c r="AC14" i="7" s="1"/>
  <c r="AB5" i="7"/>
  <c r="AC5" i="7" s="1"/>
  <c r="AB15" i="7"/>
  <c r="AC15" i="7" s="1"/>
  <c r="H7" i="7"/>
  <c r="AY7" i="7"/>
  <c r="AY16" i="7"/>
  <c r="AB18" i="7"/>
  <c r="AC18" i="7" s="1"/>
  <c r="AE17" i="7"/>
  <c r="AF17" i="7"/>
  <c r="AB19" i="7"/>
  <c r="AC19" i="7" s="1"/>
  <c r="AE6" i="7"/>
  <c r="AF6" i="7"/>
  <c r="AF15" i="7"/>
  <c r="AF5" i="7"/>
  <c r="H16" i="7" l="1"/>
  <c r="H13" i="7"/>
  <c r="H12" i="7"/>
  <c r="AY13" i="7"/>
  <c r="M13" i="7" s="1"/>
  <c r="H9" i="7"/>
  <c r="AY9" i="7"/>
  <c r="M10" i="7"/>
  <c r="H8" i="7"/>
  <c r="AY8" i="7"/>
  <c r="M7" i="7"/>
  <c r="AY14" i="7"/>
  <c r="H14" i="7"/>
  <c r="M20" i="7"/>
  <c r="H15" i="7"/>
  <c r="AY15" i="7"/>
  <c r="M16" i="7"/>
  <c r="AY18" i="7"/>
  <c r="H18" i="7"/>
  <c r="AY17" i="7"/>
  <c r="H17" i="7"/>
  <c r="H19" i="7"/>
  <c r="AY19" i="7"/>
  <c r="M12" i="7"/>
  <c r="H5" i="7"/>
  <c r="AY5" i="7"/>
  <c r="H6" i="7"/>
  <c r="AY6" i="7"/>
  <c r="M8" i="7" l="1"/>
  <c r="M9" i="7"/>
  <c r="M17" i="7"/>
  <c r="M19" i="7"/>
  <c r="M14" i="7"/>
  <c r="M15" i="7"/>
  <c r="M5" i="7"/>
  <c r="M6" i="7"/>
  <c r="M18" i="7"/>
  <c r="V11" i="2" l="1"/>
  <c r="V10" i="2"/>
  <c r="R11" i="2" l="1"/>
  <c r="R10" i="2"/>
  <c r="H13" i="1"/>
  <c r="H28" i="1"/>
  <c r="E4" i="1"/>
  <c r="F4" i="1" s="1"/>
  <c r="H4" i="1" s="1"/>
  <c r="E5" i="1"/>
  <c r="E6" i="1"/>
  <c r="H6" i="1" s="1"/>
  <c r="E7" i="1"/>
  <c r="H7" i="1" s="1"/>
  <c r="E8" i="1"/>
  <c r="F8" i="1" s="1"/>
  <c r="H8" i="1" s="1"/>
  <c r="E9" i="1"/>
  <c r="H9" i="1" s="1"/>
  <c r="E10" i="1"/>
  <c r="F10" i="1" s="1"/>
  <c r="H10" i="1" s="1"/>
  <c r="E11" i="1"/>
  <c r="H11" i="1" s="1"/>
  <c r="E12" i="1"/>
  <c r="H12" i="1" s="1"/>
  <c r="E13" i="1"/>
  <c r="E14" i="1"/>
  <c r="F14" i="1" s="1"/>
  <c r="H14" i="1" s="1"/>
  <c r="E15" i="1"/>
  <c r="H15" i="1" s="1"/>
  <c r="E16" i="1"/>
  <c r="F16" i="1" s="1"/>
  <c r="H16" i="1" s="1"/>
  <c r="E17" i="1"/>
  <c r="H17" i="1" s="1"/>
  <c r="E18" i="1"/>
  <c r="H18" i="1" s="1"/>
  <c r="E19" i="1"/>
  <c r="E20" i="1"/>
  <c r="H20" i="1" s="1"/>
  <c r="E21" i="1"/>
  <c r="H21" i="1" s="1"/>
  <c r="E22" i="1"/>
  <c r="H22" i="1" s="1"/>
  <c r="E23" i="1"/>
  <c r="F23" i="1" s="1"/>
  <c r="U12" i="2" s="1"/>
  <c r="E24" i="1"/>
  <c r="H24" i="1" s="1"/>
  <c r="E25" i="1"/>
  <c r="E26" i="1"/>
  <c r="H26" i="1" s="1"/>
  <c r="E27" i="1"/>
  <c r="H27" i="1" s="1"/>
  <c r="E28" i="1"/>
  <c r="E29" i="1"/>
  <c r="E30" i="1"/>
  <c r="H30" i="1" s="1"/>
  <c r="E31" i="1"/>
  <c r="E32" i="1"/>
  <c r="H32" i="1" s="1"/>
  <c r="E3" i="1"/>
  <c r="H3" i="1" s="1"/>
  <c r="H19" i="1" l="1"/>
  <c r="F19" i="1"/>
  <c r="H31" i="1"/>
  <c r="F31" i="1"/>
  <c r="F25" i="1"/>
  <c r="H25" i="1" s="1"/>
  <c r="F29" i="1"/>
  <c r="H29" i="1" s="1"/>
  <c r="H23" i="1"/>
  <c r="H5" i="1"/>
  <c r="W10" i="2"/>
  <c r="S11" i="2" l="1"/>
  <c r="I18" i="1"/>
  <c r="I23" i="1"/>
  <c r="I3" i="1"/>
  <c r="I28" i="1"/>
  <c r="I20" i="1"/>
  <c r="E2" i="1"/>
  <c r="F2" i="1" s="1"/>
  <c r="H2" i="1" s="1"/>
  <c r="S10" i="2"/>
  <c r="T10" i="2" s="1"/>
  <c r="U11" i="2" l="1"/>
  <c r="Q11" i="2" s="1"/>
  <c r="U10" i="2"/>
  <c r="Q10" i="2" s="1"/>
  <c r="J18" i="1"/>
  <c r="K18" i="1" s="1"/>
  <c r="J20" i="1"/>
  <c r="K20" i="1" s="1"/>
  <c r="J23" i="1"/>
  <c r="K23" i="1" s="1"/>
  <c r="J28" i="1"/>
  <c r="K28" i="1" s="1"/>
  <c r="T11" i="2"/>
  <c r="I12" i="1"/>
  <c r="I4" i="1"/>
  <c r="J3" i="1"/>
  <c r="K3" i="1" s="1"/>
  <c r="J21" i="1" l="1"/>
  <c r="K21" i="1" s="1"/>
  <c r="I21" i="1"/>
  <c r="J29" i="1"/>
  <c r="K29" i="1" s="1"/>
  <c r="I29" i="1"/>
  <c r="J32" i="1"/>
  <c r="K32" i="1" s="1"/>
  <c r="I32" i="1"/>
  <c r="J24" i="1"/>
  <c r="K24" i="1" s="1"/>
  <c r="I24" i="1"/>
  <c r="J13" i="1"/>
  <c r="K13" i="1" s="1"/>
  <c r="I13" i="1"/>
  <c r="J22" i="1"/>
  <c r="K22" i="1" s="1"/>
  <c r="I22" i="1"/>
  <c r="J26" i="1"/>
  <c r="K26" i="1" s="1"/>
  <c r="I26" i="1"/>
  <c r="J7" i="1"/>
  <c r="K7" i="1" s="1"/>
  <c r="I7" i="1"/>
  <c r="J17" i="1"/>
  <c r="K17" i="1" s="1"/>
  <c r="I17" i="1"/>
  <c r="J9" i="1"/>
  <c r="K9" i="1" s="1"/>
  <c r="I9" i="1"/>
  <c r="J27" i="1"/>
  <c r="K27" i="1" s="1"/>
  <c r="I27" i="1"/>
  <c r="J31" i="1"/>
  <c r="K31" i="1" s="1"/>
  <c r="I31" i="1"/>
  <c r="J11" i="1"/>
  <c r="K11" i="1" s="1"/>
  <c r="I11" i="1"/>
  <c r="J8" i="1"/>
  <c r="K8" i="1" s="1"/>
  <c r="I8" i="1"/>
  <c r="J30" i="1"/>
  <c r="K30" i="1" s="1"/>
  <c r="I30" i="1"/>
  <c r="J15" i="1"/>
  <c r="K15" i="1" s="1"/>
  <c r="I15" i="1"/>
  <c r="J19" i="1"/>
  <c r="K19" i="1" s="1"/>
  <c r="I19" i="1"/>
  <c r="J16" i="1"/>
  <c r="K16" i="1" s="1"/>
  <c r="I16" i="1"/>
  <c r="J10" i="1"/>
  <c r="K10" i="1" s="1"/>
  <c r="I10" i="1"/>
  <c r="J14" i="1"/>
  <c r="K14" i="1" s="1"/>
  <c r="I14" i="1"/>
  <c r="J5" i="1"/>
  <c r="K5" i="1" s="1"/>
  <c r="I5" i="1"/>
  <c r="J25" i="1"/>
  <c r="K25" i="1" s="1"/>
  <c r="I25" i="1"/>
  <c r="J6" i="1"/>
  <c r="K6" i="1" s="1"/>
  <c r="I6" i="1"/>
  <c r="J4" i="1"/>
  <c r="K4" i="1" s="1"/>
  <c r="J12" i="1"/>
  <c r="K12" i="1" s="1"/>
  <c r="J2" i="1"/>
</calcChain>
</file>

<file path=xl/sharedStrings.xml><?xml version="1.0" encoding="utf-8"?>
<sst xmlns="http://schemas.openxmlformats.org/spreadsheetml/2006/main" count="222" uniqueCount="158">
  <si>
    <t>상품명</t>
    <phoneticPr fontId="2" type="noConversion"/>
  </si>
  <si>
    <t>지원금</t>
    <phoneticPr fontId="2" type="noConversion"/>
  </si>
  <si>
    <t>판매자가 넘지 말아야 될 판매가</t>
    <phoneticPr fontId="2" type="noConversion"/>
  </si>
  <si>
    <t>쿠폰 할인액</t>
    <phoneticPr fontId="2" type="noConversion"/>
  </si>
  <si>
    <t>쿠폰 할인율</t>
    <phoneticPr fontId="2" type="noConversion"/>
  </si>
  <si>
    <t>예시</t>
    <phoneticPr fontId="2" type="noConversion"/>
  </si>
  <si>
    <t>협회 행사 기준가</t>
    <phoneticPr fontId="2" type="noConversion"/>
  </si>
  <si>
    <t>한우 암소 1+등급 등심</t>
  </si>
  <si>
    <t>한우 암소 1+등급 안심</t>
  </si>
  <si>
    <t>한우 암소 1+등급 채끝</t>
  </si>
  <si>
    <t>한우 암소 1+등급 불고기/국거리</t>
  </si>
  <si>
    <t>한우 암소 1등급 등심</t>
  </si>
  <si>
    <t>한우 암소 1등급 안심</t>
  </si>
  <si>
    <t>한우 암소 1등급 채끝</t>
  </si>
  <si>
    <t>한우 암소 1등급 불고기/국거리</t>
  </si>
  <si>
    <t>한우 암소 2등급 등심</t>
  </si>
  <si>
    <t>한우 암소 2등급 안심</t>
  </si>
  <si>
    <t>한우 암소 2등급 채끝</t>
  </si>
  <si>
    <t>한우 암소 2등급 불고기/국거리</t>
  </si>
  <si>
    <t>상품코드</t>
    <phoneticPr fontId="2" type="noConversion"/>
  </si>
  <si>
    <t>사이트</t>
    <phoneticPr fontId="2" type="noConversion"/>
  </si>
  <si>
    <t>판매자ID</t>
    <phoneticPr fontId="2" type="noConversion"/>
  </si>
  <si>
    <t>등급</t>
    <phoneticPr fontId="2" type="noConversion"/>
  </si>
  <si>
    <t>협회 제시 기준가</t>
    <phoneticPr fontId="2" type="noConversion"/>
  </si>
  <si>
    <t>판매자가 넘지 말아야 할 판매가</t>
    <phoneticPr fontId="2" type="noConversion"/>
  </si>
  <si>
    <t>적합 여부</t>
    <phoneticPr fontId="2" type="noConversion"/>
  </si>
  <si>
    <t>등심</t>
    <phoneticPr fontId="2" type="noConversion"/>
  </si>
  <si>
    <t>안심</t>
    <phoneticPr fontId="2" type="noConversion"/>
  </si>
  <si>
    <t>채끝</t>
    <phoneticPr fontId="2" type="noConversion"/>
  </si>
  <si>
    <t>불고기/국거리</t>
  </si>
  <si>
    <t>불고기/국거리</t>
    <phoneticPr fontId="2" type="noConversion"/>
  </si>
  <si>
    <t xml:space="preserve">1+등급 </t>
    <phoneticPr fontId="2" type="noConversion"/>
  </si>
  <si>
    <t xml:space="preserve">1등급 </t>
  </si>
  <si>
    <t xml:space="preserve">1등급 </t>
    <phoneticPr fontId="2" type="noConversion"/>
  </si>
  <si>
    <t xml:space="preserve">2등급 </t>
    <phoneticPr fontId="2" type="noConversion"/>
  </si>
  <si>
    <t>G마켓</t>
    <phoneticPr fontId="2" type="noConversion"/>
  </si>
  <si>
    <t>abcde</t>
    <phoneticPr fontId="2" type="noConversion"/>
  </si>
  <si>
    <t>최종 상품</t>
    <phoneticPr fontId="2" type="noConversion"/>
  </si>
  <si>
    <t>예시)</t>
    <phoneticPr fontId="2" type="noConversion"/>
  </si>
  <si>
    <t>100g 판매가</t>
    <phoneticPr fontId="2" type="noConversion"/>
  </si>
  <si>
    <t>최종 쿠폰 판매가</t>
    <phoneticPr fontId="2" type="noConversion"/>
  </si>
  <si>
    <t>한우 암소 1등급 국거리/불고기 1kg</t>
    <phoneticPr fontId="2" type="noConversion"/>
  </si>
  <si>
    <t>한우 거세 1+등급 등심</t>
  </si>
  <si>
    <t>한우 거세 1+등급 안심</t>
  </si>
  <si>
    <t>한우 거세 1+등급 채끝</t>
  </si>
  <si>
    <t>한우 거세 1+등급 불고기/국거리</t>
  </si>
  <si>
    <t>한우 거세 1등급 등심</t>
  </si>
  <si>
    <t>한우 거세 1등급 안심</t>
  </si>
  <si>
    <t>한우 거세 1등급 채끝</t>
  </si>
  <si>
    <t>한우 거세 1등급 불고기/국거리</t>
  </si>
  <si>
    <t>한우 거세 2등급 등심</t>
  </si>
  <si>
    <t>한우 거세 2등급 안심</t>
  </si>
  <si>
    <t>한우 거세 2등급 채끝</t>
  </si>
  <si>
    <t>한우 거세 2등급 불고기/국거리</t>
  </si>
  <si>
    <t>양지</t>
  </si>
  <si>
    <t>양지</t>
    <phoneticPr fontId="2" type="noConversion"/>
  </si>
  <si>
    <t>한우 거세 1+등급 양지</t>
    <phoneticPr fontId="2" type="noConversion"/>
  </si>
  <si>
    <t>한우 거세 1등급 양지</t>
    <phoneticPr fontId="2" type="noConversion"/>
  </si>
  <si>
    <t>한우 거세 2등급 양지</t>
    <phoneticPr fontId="2" type="noConversion"/>
  </si>
  <si>
    <t>한우 암소 1+등급 양지</t>
    <phoneticPr fontId="2" type="noConversion"/>
  </si>
  <si>
    <t>한우 암소 1등급 양지</t>
    <phoneticPr fontId="2" type="noConversion"/>
  </si>
  <si>
    <t>한우 암소 2등급 양지</t>
    <phoneticPr fontId="2" type="noConversion"/>
  </si>
  <si>
    <t xml:space="preserve">한우 거세 </t>
  </si>
  <si>
    <t xml:space="preserve">한우 거세 </t>
    <phoneticPr fontId="2" type="noConversion"/>
  </si>
  <si>
    <t xml:space="preserve">1+등급 </t>
  </si>
  <si>
    <t>옥션</t>
    <phoneticPr fontId="2" type="noConversion"/>
  </si>
  <si>
    <t>한우 1+ 양지 300g</t>
    <phoneticPr fontId="2" type="noConversion"/>
  </si>
  <si>
    <t xml:space="preserve">한우 암소 </t>
    <phoneticPr fontId="2" type="noConversion"/>
  </si>
  <si>
    <t>등록 상품명</t>
    <phoneticPr fontId="2" type="noConversion"/>
  </si>
  <si>
    <t>거세/암소</t>
    <phoneticPr fontId="2" type="noConversion"/>
  </si>
  <si>
    <t>냉장</t>
    <phoneticPr fontId="2" type="noConversion"/>
  </si>
  <si>
    <t>가격</t>
    <phoneticPr fontId="2" type="noConversion"/>
  </si>
  <si>
    <t>배송</t>
    <phoneticPr fontId="2" type="noConversion"/>
  </si>
  <si>
    <t>중량</t>
    <phoneticPr fontId="2" type="noConversion"/>
  </si>
  <si>
    <t>유료</t>
    <phoneticPr fontId="2" type="noConversion"/>
  </si>
  <si>
    <t>4만원이상 무료</t>
    <phoneticPr fontId="2" type="noConversion"/>
  </si>
  <si>
    <t>확인용</t>
    <phoneticPr fontId="2" type="noConversion"/>
  </si>
  <si>
    <t>4만원이상무료</t>
    <phoneticPr fontId="2" type="noConversion"/>
  </si>
  <si>
    <t>5만원이상무료</t>
    <phoneticPr fontId="2" type="noConversion"/>
  </si>
  <si>
    <t>6만원이상무료</t>
    <phoneticPr fontId="2" type="noConversion"/>
  </si>
  <si>
    <t>유료/조건부</t>
    <phoneticPr fontId="2" type="noConversion"/>
  </si>
  <si>
    <t>성별 (선택)</t>
    <phoneticPr fontId="2" type="noConversion"/>
  </si>
  <si>
    <t>등급 (선택)</t>
    <phoneticPr fontId="2" type="noConversion"/>
  </si>
  <si>
    <t>부위 (선택)</t>
    <phoneticPr fontId="2" type="noConversion"/>
  </si>
  <si>
    <t>판매자</t>
  </si>
  <si>
    <t>부담율</t>
  </si>
  <si>
    <t>중량(G)
(입력)</t>
    <phoneticPr fontId="2" type="noConversion"/>
  </si>
  <si>
    <t>배송
(선택/입력)</t>
    <phoneticPr fontId="2" type="noConversion"/>
  </si>
  <si>
    <t>HBS 
쿠폰액</t>
    <phoneticPr fontId="2" type="noConversion"/>
  </si>
  <si>
    <t>판매자 연락처</t>
    <phoneticPr fontId="2" type="noConversion"/>
  </si>
  <si>
    <t>담당자 성함</t>
    <phoneticPr fontId="2" type="noConversion"/>
  </si>
  <si>
    <t>업체명</t>
    <phoneticPr fontId="2" type="noConversion"/>
  </si>
  <si>
    <t>자동 계산</t>
    <phoneticPr fontId="2" type="noConversion"/>
  </si>
  <si>
    <t>진행상품 필수조건 [참고]</t>
    <phoneticPr fontId="2" type="noConversion"/>
  </si>
  <si>
    <t>쿠폰액&lt;지원금</t>
    <phoneticPr fontId="2" type="noConversion"/>
  </si>
  <si>
    <t>판매자가 넘지 말아야 될 판매가[보정]</t>
    <phoneticPr fontId="2" type="noConversion"/>
  </si>
  <si>
    <t>배송비
(입력)</t>
    <phoneticPr fontId="2" type="noConversion"/>
  </si>
  <si>
    <t>노란색인 영역 필수입력 (판매자입력)</t>
    <phoneticPr fontId="2" type="noConversion"/>
  </si>
  <si>
    <t>G마켓</t>
  </si>
  <si>
    <t>옥션</t>
  </si>
  <si>
    <t>유료</t>
  </si>
  <si>
    <t>당사수익/판매가</t>
    <phoneticPr fontId="2" type="noConversion"/>
  </si>
  <si>
    <t>BSD쿠폰1</t>
    <phoneticPr fontId="2" type="noConversion"/>
  </si>
  <si>
    <t>기존가</t>
    <phoneticPr fontId="2" type="noConversion"/>
  </si>
  <si>
    <t>판매자할인</t>
    <phoneticPr fontId="2" type="noConversion"/>
  </si>
  <si>
    <t>/1.1</t>
    <phoneticPr fontId="2" type="noConversion"/>
  </si>
  <si>
    <t>BSD쿠폰2</t>
    <phoneticPr fontId="2" type="noConversion"/>
  </si>
  <si>
    <t>사이트</t>
  </si>
  <si>
    <t>쿠폰1</t>
    <phoneticPr fontId="2" type="noConversion"/>
  </si>
  <si>
    <t>코멘트</t>
    <phoneticPr fontId="2" type="noConversion"/>
  </si>
  <si>
    <t>준비수량</t>
  </si>
  <si>
    <t>ID</t>
    <phoneticPr fontId="2" type="noConversion"/>
  </si>
  <si>
    <t>멘트</t>
    <phoneticPr fontId="2" type="noConversion"/>
  </si>
  <si>
    <t>협의
공급가</t>
    <phoneticPr fontId="2" type="noConversion"/>
  </si>
  <si>
    <t>행사가</t>
    <phoneticPr fontId="2" type="noConversion"/>
  </si>
  <si>
    <t>혜택가</t>
    <phoneticPr fontId="2" type="noConversion"/>
  </si>
  <si>
    <t>변경
판매가</t>
    <phoneticPr fontId="2" type="noConversion"/>
  </si>
  <si>
    <t>판매자
쿠폰</t>
    <phoneticPr fontId="2" type="noConversion"/>
  </si>
  <si>
    <t>판매자
 셋팅값</t>
    <phoneticPr fontId="2" type="noConversion"/>
  </si>
  <si>
    <t>ICR</t>
    <phoneticPr fontId="2" type="noConversion"/>
  </si>
  <si>
    <t>행사가</t>
  </si>
  <si>
    <t>GMV
상승률</t>
    <phoneticPr fontId="2" type="noConversion"/>
  </si>
  <si>
    <t>테이블 
수수료</t>
    <phoneticPr fontId="2" type="noConversion"/>
  </si>
  <si>
    <t>변경
수수료</t>
    <phoneticPr fontId="2" type="noConversion"/>
  </si>
  <si>
    <t>즉시할인수수료</t>
  </si>
  <si>
    <t>공제 FVF</t>
  </si>
  <si>
    <t>정산금</t>
    <phoneticPr fontId="2" type="noConversion"/>
  </si>
  <si>
    <t>GFVF</t>
    <phoneticPr fontId="2" type="noConversion"/>
  </si>
  <si>
    <t>GFVF TR</t>
    <phoneticPr fontId="2" type="noConversion"/>
  </si>
  <si>
    <t>nFVF</t>
    <phoneticPr fontId="2" type="noConversion"/>
  </si>
  <si>
    <t>nFVF TR</t>
    <phoneticPr fontId="2" type="noConversion"/>
  </si>
  <si>
    <t>ICR
요율</t>
    <phoneticPr fontId="2" type="noConversion"/>
  </si>
  <si>
    <t>중복쿠폰
가격</t>
    <phoneticPr fontId="2" type="noConversion"/>
  </si>
  <si>
    <t>중복쿠폰
정산가</t>
    <phoneticPr fontId="2" type="noConversion"/>
  </si>
  <si>
    <t>중복
쿠폰율</t>
    <phoneticPr fontId="2" type="noConversion"/>
  </si>
  <si>
    <t>최소
구매액</t>
  </si>
  <si>
    <t>최대
할인액</t>
  </si>
  <si>
    <t>쿠폰액</t>
  </si>
  <si>
    <t>판매자
부담율</t>
  </si>
  <si>
    <t>일반
쿠폰율</t>
    <phoneticPr fontId="2" type="noConversion"/>
  </si>
  <si>
    <t>판매자
부담율</t>
    <phoneticPr fontId="2" type="noConversion"/>
  </si>
  <si>
    <t>일반l(지자체)
쿠폰율</t>
    <phoneticPr fontId="2" type="noConversion"/>
  </si>
  <si>
    <t>카드사
쿠폰율</t>
    <phoneticPr fontId="2" type="noConversion"/>
  </si>
  <si>
    <t>담당자</t>
    <phoneticPr fontId="2" type="noConversion"/>
  </si>
  <si>
    <t>연락처</t>
    <phoneticPr fontId="2" type="noConversion"/>
  </si>
  <si>
    <t>이메일</t>
    <phoneticPr fontId="2" type="noConversion"/>
  </si>
  <si>
    <t>한우협회</t>
    <phoneticPr fontId="2" type="noConversion"/>
  </si>
  <si>
    <t>택배비</t>
    <phoneticPr fontId="2" type="noConversion"/>
  </si>
  <si>
    <t>최종 할인가
(판매가-협회13%)</t>
    <phoneticPr fontId="2" type="noConversion"/>
  </si>
  <si>
    <t>판매가
(입력)</t>
    <phoneticPr fontId="2" type="noConversion"/>
  </si>
  <si>
    <t>선물세트 불가</t>
    <phoneticPr fontId="2" type="noConversion"/>
  </si>
  <si>
    <t>공급가
 GAP</t>
    <phoneticPr fontId="2" type="noConversion"/>
  </si>
  <si>
    <t>수수료 12%의
판매가 입력</t>
    <phoneticPr fontId="2" type="noConversion"/>
  </si>
  <si>
    <t>선택영역</t>
    <phoneticPr fontId="2" type="noConversion"/>
  </si>
  <si>
    <t>(포장/배송비 
미포함 금액)</t>
    <phoneticPr fontId="2" type="noConversion"/>
  </si>
  <si>
    <t>13% 쿠폰할인가</t>
    <phoneticPr fontId="2" type="noConversion"/>
  </si>
  <si>
    <t>자동계산</t>
    <phoneticPr fontId="2" type="noConversion"/>
  </si>
  <si>
    <r>
      <t>1. 프로모션 기간: 10/26~11/3 (9일간)
2. 조건부 배송/ 유료 배송 (택배비 제외/선결제) 만 가능 
3. 각 업체별 상품 제한 없으며, 기준행사가 미만 제품만 가능 
4. 불고기/ 국거리의 경우 '목심' 부위 제외 
5. '냉장' 상품만 지원 가능 
6. 프로모션 기간동안 ' 가격변동'시 쿠폰 지원 불가 &gt; 담당매니저 상의 필요
7. 1개의 상품코드 당 '단일부위'만  가능</t>
    </r>
    <r>
      <rPr>
        <b/>
        <sz val="11"/>
        <color theme="1"/>
        <rFont val="맑은 고딕"/>
        <family val="3"/>
        <charset val="129"/>
        <scheme val="minor"/>
      </rPr>
      <t xml:space="preserve"> (옵션. 혼합제품 불가) 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</si>
</sst>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43" formatCode="_-* #,##0.00_-;\-* #,##0.00_-;_-* &quot;-&quot;??_-;_-@_-"/>
    <numFmt numFmtId="176" formatCode="_-* #,##0_-;\-* #,##0_-;_-* &quot;-&quot;??_-;_-@_-"/>
    <numFmt numFmtId="177" formatCode="_(* #,##0_);_(* \(#,##0\);_(* &quot;-&quot;??_);_(@_)"/>
    <numFmt numFmtId="178" formatCode="#,##0;[Red]#,##0"/>
    <numFmt numFmtId="179" formatCode="0.0%"/>
  </numFmts>
  <fonts count="18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rgb="FFFF0000"/>
      <name val="맑은 고딕"/>
      <family val="2"/>
      <charset val="129"/>
      <scheme val="minor"/>
    </font>
    <font>
      <sz val="11"/>
      <color rgb="FFFF0000"/>
      <name val="맑은 고딕"/>
      <family val="3"/>
      <charset val="129"/>
      <scheme val="minor"/>
    </font>
    <font>
      <i/>
      <sz val="11"/>
      <color rgb="FFFF0000"/>
      <name val="맑은 고딕"/>
      <family val="3"/>
      <charset val="129"/>
      <scheme val="minor"/>
    </font>
    <font>
      <sz val="8"/>
      <color rgb="FF000000"/>
      <name val="맑은 고딕"/>
      <family val="3"/>
      <charset val="129"/>
      <scheme val="minor"/>
    </font>
    <font>
      <sz val="11"/>
      <color rgb="FF000000"/>
      <name val="맑은 고딕"/>
      <family val="3"/>
      <charset val="129"/>
      <scheme val="minor"/>
    </font>
    <font>
      <sz val="11"/>
      <color rgb="FF9C0006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i/>
      <sz val="8"/>
      <color rgb="FFFF0000"/>
      <name val="맑은 고딕"/>
      <family val="3"/>
      <charset val="129"/>
      <scheme val="minor"/>
    </font>
    <font>
      <sz val="8"/>
      <color rgb="FFFF0000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11"/>
      <name val="돋움"/>
      <family val="3"/>
      <charset val="129"/>
    </font>
    <font>
      <b/>
      <sz val="8"/>
      <name val="맑은 고딕"/>
      <family val="3"/>
      <charset val="129"/>
      <scheme val="minor"/>
    </font>
    <font>
      <b/>
      <sz val="8"/>
      <color rgb="FFFF0000"/>
      <name val="맑은 고딕"/>
      <family val="3"/>
      <charset val="129"/>
      <scheme val="minor"/>
    </font>
    <font>
      <b/>
      <sz val="8"/>
      <color theme="0"/>
      <name val="맑은 고딕"/>
      <family val="3"/>
      <charset val="129"/>
      <scheme val="minor"/>
    </font>
  </fonts>
  <fills count="2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C000"/>
        <bgColor rgb="FF000000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rgb="FF000000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 style="medium">
        <color rgb="FF000000"/>
      </bottom>
      <diagonal/>
    </border>
    <border>
      <left/>
      <right style="thin">
        <color indexed="64"/>
      </right>
      <top style="medium">
        <color indexed="64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4" fillId="0" borderId="0"/>
  </cellStyleXfs>
  <cellXfs count="177">
    <xf numFmtId="0" fontId="0" fillId="0" borderId="0" xfId="0">
      <alignment vertical="center"/>
    </xf>
    <xf numFmtId="41" fontId="0" fillId="2" borderId="0" xfId="1" applyFont="1" applyFill="1" applyBorder="1">
      <alignment vertical="center"/>
    </xf>
    <xf numFmtId="43" fontId="0" fillId="0" borderId="0" xfId="0" applyNumberFormat="1">
      <alignment vertical="center"/>
    </xf>
    <xf numFmtId="41" fontId="0" fillId="0" borderId="0" xfId="1" applyFont="1" applyFill="1" applyBorder="1">
      <alignment vertical="center"/>
    </xf>
    <xf numFmtId="176" fontId="0" fillId="0" borderId="0" xfId="0" applyNumberFormat="1">
      <alignment vertical="center"/>
    </xf>
    <xf numFmtId="9" fontId="0" fillId="0" borderId="0" xfId="2" applyFont="1">
      <alignment vertical="center"/>
    </xf>
    <xf numFmtId="0" fontId="0" fillId="2" borderId="0" xfId="0" applyFill="1">
      <alignment vertical="center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176" fontId="0" fillId="2" borderId="0" xfId="0" applyNumberFormat="1" applyFill="1">
      <alignment vertical="center"/>
    </xf>
    <xf numFmtId="9" fontId="0" fillId="2" borderId="0" xfId="2" applyFont="1" applyFill="1">
      <alignment vertical="center"/>
    </xf>
    <xf numFmtId="41" fontId="0" fillId="2" borderId="1" xfId="1" applyFont="1" applyFill="1" applyBorder="1" applyAlignment="1">
      <alignment horizontal="center" vertical="center"/>
    </xf>
    <xf numFmtId="41" fontId="0" fillId="0" borderId="1" xfId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2" borderId="1" xfId="0" applyFill="1" applyBorder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quotePrefix="1" applyFo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0" xfId="0" applyAlignment="1">
      <alignment horizontal="right" vertical="center"/>
    </xf>
    <xf numFmtId="9" fontId="7" fillId="5" borderId="3" xfId="0" applyNumberFormat="1" applyFont="1" applyFill="1" applyBorder="1">
      <alignment vertical="center"/>
    </xf>
    <xf numFmtId="0" fontId="7" fillId="5" borderId="4" xfId="0" applyFont="1" applyFill="1" applyBorder="1" applyAlignment="1">
      <alignment vertical="center" wrapText="1"/>
    </xf>
    <xf numFmtId="0" fontId="7" fillId="5" borderId="5" xfId="0" applyFont="1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0" fillId="6" borderId="0" xfId="0" applyFill="1" applyAlignment="1">
      <alignment horizontal="center" vertical="center"/>
    </xf>
    <xf numFmtId="0" fontId="0" fillId="6" borderId="0" xfId="0" applyFill="1">
      <alignment vertical="center"/>
    </xf>
    <xf numFmtId="43" fontId="0" fillId="6" borderId="0" xfId="0" applyNumberFormat="1" applyFill="1">
      <alignment vertical="center"/>
    </xf>
    <xf numFmtId="0" fontId="0" fillId="6" borderId="0" xfId="0" applyFill="1" applyAlignment="1">
      <alignment horizontal="right" vertical="center"/>
    </xf>
    <xf numFmtId="9" fontId="7" fillId="5" borderId="0" xfId="0" applyNumberFormat="1" applyFont="1" applyFill="1">
      <alignment vertical="center"/>
    </xf>
    <xf numFmtId="0" fontId="0" fillId="2" borderId="2" xfId="0" applyFill="1" applyBorder="1" applyAlignment="1">
      <alignment vertical="center" wrapText="1"/>
    </xf>
    <xf numFmtId="0" fontId="0" fillId="2" borderId="0" xfId="0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176" fontId="0" fillId="7" borderId="0" xfId="0" applyNumberFormat="1" applyFill="1">
      <alignment vertical="center"/>
    </xf>
    <xf numFmtId="0" fontId="0" fillId="8" borderId="1" xfId="0" applyFill="1" applyBorder="1" applyAlignment="1">
      <alignment horizontal="center" vertical="center"/>
    </xf>
    <xf numFmtId="41" fontId="0" fillId="8" borderId="1" xfId="1" applyFont="1" applyFill="1" applyBorder="1" applyAlignment="1">
      <alignment horizontal="center" vertical="center"/>
    </xf>
    <xf numFmtId="0" fontId="0" fillId="8" borderId="1" xfId="0" applyFill="1" applyBorder="1">
      <alignment vertical="center"/>
    </xf>
    <xf numFmtId="41" fontId="5" fillId="0" borderId="0" xfId="1" applyFont="1">
      <alignment vertical="center"/>
    </xf>
    <xf numFmtId="41" fontId="6" fillId="0" borderId="0" xfId="1" applyFont="1" applyAlignment="1">
      <alignment horizontal="left" vertical="center"/>
    </xf>
    <xf numFmtId="41" fontId="0" fillId="0" borderId="0" xfId="1" applyFont="1" applyAlignment="1">
      <alignment horizontal="center" vertical="center"/>
    </xf>
    <xf numFmtId="41" fontId="0" fillId="2" borderId="0" xfId="1" applyFont="1" applyFill="1" applyAlignment="1">
      <alignment horizontal="center" vertical="center"/>
    </xf>
    <xf numFmtId="41" fontId="0" fillId="0" borderId="1" xfId="1" applyFont="1" applyBorder="1" applyAlignment="1">
      <alignment horizontal="center" vertical="center" wrapText="1"/>
    </xf>
    <xf numFmtId="41" fontId="0" fillId="0" borderId="0" xfId="1" applyFont="1">
      <alignment vertical="center"/>
    </xf>
    <xf numFmtId="0" fontId="3" fillId="2" borderId="0" xfId="0" applyFont="1" applyFill="1" applyAlignment="1">
      <alignment horizontal="left" vertical="center"/>
    </xf>
    <xf numFmtId="0" fontId="8" fillId="9" borderId="1" xfId="0" applyFont="1" applyFill="1" applyBorder="1" applyAlignment="1">
      <alignment horizontal="center" vertical="center"/>
    </xf>
    <xf numFmtId="41" fontId="0" fillId="0" borderId="0" xfId="1" applyFont="1" applyAlignment="1">
      <alignment horizontal="right" vertical="center"/>
    </xf>
    <xf numFmtId="41" fontId="0" fillId="0" borderId="0" xfId="1" applyFont="1" applyAlignment="1">
      <alignment horizontal="left" vertical="center"/>
    </xf>
    <xf numFmtId="41" fontId="0" fillId="2" borderId="0" xfId="1" applyFont="1" applyFill="1">
      <alignment vertical="center"/>
    </xf>
    <xf numFmtId="0" fontId="10" fillId="0" borderId="0" xfId="0" applyFont="1">
      <alignment vertical="center"/>
    </xf>
    <xf numFmtId="14" fontId="10" fillId="0" borderId="0" xfId="0" applyNumberFormat="1" applyFont="1">
      <alignment vertical="center"/>
    </xf>
    <xf numFmtId="41" fontId="10" fillId="0" borderId="0" xfId="1" applyFont="1">
      <alignment vertical="center"/>
    </xf>
    <xf numFmtId="41" fontId="10" fillId="7" borderId="0" xfId="1" applyFont="1" applyFill="1">
      <alignment vertical="center"/>
    </xf>
    <xf numFmtId="41" fontId="11" fillId="7" borderId="0" xfId="1" applyFont="1" applyFill="1">
      <alignment vertical="center"/>
    </xf>
    <xf numFmtId="0" fontId="10" fillId="12" borderId="0" xfId="0" applyFont="1" applyFill="1">
      <alignment vertical="center"/>
    </xf>
    <xf numFmtId="9" fontId="10" fillId="0" borderId="0" xfId="2" applyFont="1">
      <alignment vertical="center"/>
    </xf>
    <xf numFmtId="0" fontId="10" fillId="16" borderId="6" xfId="0" applyFont="1" applyFill="1" applyBorder="1">
      <alignment vertical="center"/>
    </xf>
    <xf numFmtId="0" fontId="12" fillId="2" borderId="0" xfId="0" applyFont="1" applyFill="1">
      <alignment vertical="center"/>
    </xf>
    <xf numFmtId="0" fontId="13" fillId="0" borderId="0" xfId="0" applyFont="1">
      <alignment vertical="center"/>
    </xf>
    <xf numFmtId="9" fontId="10" fillId="0" borderId="0" xfId="0" applyNumberFormat="1" applyFont="1">
      <alignment vertical="center"/>
    </xf>
    <xf numFmtId="177" fontId="10" fillId="0" borderId="0" xfId="0" applyNumberFormat="1" applyFont="1">
      <alignment vertical="center"/>
    </xf>
    <xf numFmtId="0" fontId="10" fillId="0" borderId="0" xfId="0" applyFont="1" applyAlignment="1">
      <alignment horizontal="center" vertical="center"/>
    </xf>
    <xf numFmtId="0" fontId="10" fillId="0" borderId="7" xfId="0" applyFont="1" applyBorder="1">
      <alignment vertical="center"/>
    </xf>
    <xf numFmtId="0" fontId="10" fillId="16" borderId="8" xfId="0" applyFont="1" applyFill="1" applyBorder="1">
      <alignment vertical="center"/>
    </xf>
    <xf numFmtId="0" fontId="10" fillId="0" borderId="0" xfId="0" quotePrefix="1" applyFont="1">
      <alignment vertical="center"/>
    </xf>
    <xf numFmtId="178" fontId="15" fillId="17" borderId="9" xfId="11" applyNumberFormat="1" applyFont="1" applyFill="1" applyBorder="1" applyAlignment="1">
      <alignment horizontal="left" vertical="center"/>
    </xf>
    <xf numFmtId="14" fontId="15" fillId="0" borderId="9" xfId="11" applyNumberFormat="1" applyFont="1" applyBorder="1" applyAlignment="1">
      <alignment horizontal="left" vertical="center"/>
    </xf>
    <xf numFmtId="177" fontId="15" fillId="0" borderId="9" xfId="11" applyNumberFormat="1" applyFont="1" applyBorder="1" applyAlignment="1">
      <alignment horizontal="left" vertical="center"/>
    </xf>
    <xf numFmtId="178" fontId="15" fillId="17" borderId="9" xfId="11" applyNumberFormat="1" applyFont="1" applyFill="1" applyBorder="1" applyAlignment="1">
      <alignment horizontal="center" vertical="center"/>
    </xf>
    <xf numFmtId="0" fontId="15" fillId="17" borderId="10" xfId="11" applyFont="1" applyFill="1" applyBorder="1" applyAlignment="1">
      <alignment horizontal="center" vertical="center"/>
    </xf>
    <xf numFmtId="41" fontId="15" fillId="17" borderId="7" xfId="1" applyFont="1" applyFill="1" applyBorder="1" applyAlignment="1">
      <alignment horizontal="center" vertical="center"/>
    </xf>
    <xf numFmtId="41" fontId="15" fillId="0" borderId="11" xfId="1" applyFont="1" applyBorder="1" applyAlignment="1">
      <alignment horizontal="left" vertical="center" wrapText="1"/>
    </xf>
    <xf numFmtId="41" fontId="11" fillId="7" borderId="12" xfId="1" applyFont="1" applyFill="1" applyBorder="1" applyAlignment="1">
      <alignment horizontal="left" vertical="center" wrapText="1"/>
    </xf>
    <xf numFmtId="41" fontId="15" fillId="12" borderId="12" xfId="1" applyFont="1" applyFill="1" applyBorder="1" applyAlignment="1">
      <alignment horizontal="center" vertical="center" wrapText="1"/>
    </xf>
    <xf numFmtId="41" fontId="15" fillId="2" borderId="12" xfId="1" applyFont="1" applyFill="1" applyBorder="1" applyAlignment="1">
      <alignment horizontal="center" vertical="center" wrapText="1"/>
    </xf>
    <xf numFmtId="41" fontId="16" fillId="2" borderId="12" xfId="1" applyFont="1" applyFill="1" applyBorder="1" applyAlignment="1">
      <alignment horizontal="center" vertical="center"/>
    </xf>
    <xf numFmtId="41" fontId="15" fillId="2" borderId="12" xfId="1" applyFont="1" applyFill="1" applyBorder="1" applyAlignment="1">
      <alignment horizontal="center" vertical="center"/>
    </xf>
    <xf numFmtId="41" fontId="17" fillId="18" borderId="13" xfId="1" applyFont="1" applyFill="1" applyBorder="1" applyAlignment="1">
      <alignment horizontal="center" vertical="center" wrapText="1"/>
    </xf>
    <xf numFmtId="9" fontId="15" fillId="2" borderId="12" xfId="2" applyFont="1" applyFill="1" applyBorder="1" applyAlignment="1">
      <alignment horizontal="center" vertical="center" wrapText="1"/>
    </xf>
    <xf numFmtId="0" fontId="13" fillId="16" borderId="12" xfId="0" applyFont="1" applyFill="1" applyBorder="1" applyAlignment="1">
      <alignment horizontal="center" vertical="center" wrapText="1"/>
    </xf>
    <xf numFmtId="179" fontId="15" fillId="2" borderId="12" xfId="2" applyNumberFormat="1" applyFont="1" applyFill="1" applyBorder="1" applyAlignment="1">
      <alignment horizontal="center" vertical="center" wrapText="1"/>
    </xf>
    <xf numFmtId="10" fontId="15" fillId="2" borderId="12" xfId="2" applyNumberFormat="1" applyFont="1" applyFill="1" applyBorder="1" applyAlignment="1">
      <alignment horizontal="center" vertical="center"/>
    </xf>
    <xf numFmtId="0" fontId="13" fillId="0" borderId="14" xfId="0" applyFont="1" applyBorder="1" applyAlignment="1">
      <alignment horizontal="center" vertical="center" wrapText="1"/>
    </xf>
    <xf numFmtId="0" fontId="13" fillId="6" borderId="12" xfId="0" applyFont="1" applyFill="1" applyBorder="1" applyAlignment="1">
      <alignment vertical="center" wrapText="1"/>
    </xf>
    <xf numFmtId="0" fontId="10" fillId="13" borderId="12" xfId="0" applyFont="1" applyFill="1" applyBorder="1" applyAlignment="1">
      <alignment vertical="center" wrapText="1"/>
    </xf>
    <xf numFmtId="0" fontId="10" fillId="7" borderId="12" xfId="0" applyFont="1" applyFill="1" applyBorder="1" applyAlignment="1">
      <alignment vertical="center" wrapText="1"/>
    </xf>
    <xf numFmtId="0" fontId="10" fillId="12" borderId="12" xfId="0" applyFont="1" applyFill="1" applyBorder="1" applyAlignment="1">
      <alignment vertical="center" wrapText="1"/>
    </xf>
    <xf numFmtId="0" fontId="13" fillId="19" borderId="15" xfId="0" applyFont="1" applyFill="1" applyBorder="1" applyAlignment="1">
      <alignment horizontal="center" vertical="center" shrinkToFit="1"/>
    </xf>
    <xf numFmtId="0" fontId="13" fillId="19" borderId="13" xfId="0" applyFont="1" applyFill="1" applyBorder="1" applyAlignment="1">
      <alignment horizontal="center" vertical="center" shrinkToFit="1"/>
    </xf>
    <xf numFmtId="0" fontId="13" fillId="19" borderId="16" xfId="0" applyFont="1" applyFill="1" applyBorder="1" applyAlignment="1">
      <alignment horizontal="center" vertical="center" shrinkToFit="1"/>
    </xf>
    <xf numFmtId="0" fontId="13" fillId="0" borderId="17" xfId="0" applyFont="1" applyBorder="1" applyAlignment="1">
      <alignment horizontal="center" vertical="center"/>
    </xf>
    <xf numFmtId="14" fontId="10" fillId="0" borderId="17" xfId="0" applyNumberFormat="1" applyFont="1" applyBorder="1" applyAlignment="1">
      <alignment horizontal="center" vertical="center" shrinkToFit="1"/>
    </xf>
    <xf numFmtId="177" fontId="10" fillId="0" borderId="17" xfId="0" applyNumberFormat="1" applyFont="1" applyBorder="1" applyAlignment="1">
      <alignment horizontal="center" vertical="center" shrinkToFit="1"/>
    </xf>
    <xf numFmtId="0" fontId="10" fillId="0" borderId="17" xfId="0" applyFont="1" applyBorder="1">
      <alignment vertical="center"/>
    </xf>
    <xf numFmtId="0" fontId="10" fillId="0" borderId="17" xfId="0" applyFont="1" applyBorder="1" applyAlignment="1">
      <alignment horizontal="center" vertical="center"/>
    </xf>
    <xf numFmtId="0" fontId="10" fillId="0" borderId="18" xfId="0" applyFont="1" applyBorder="1">
      <alignment vertical="center"/>
    </xf>
    <xf numFmtId="41" fontId="10" fillId="0" borderId="19" xfId="1" applyFont="1" applyBorder="1" applyAlignment="1">
      <alignment horizontal="center" vertical="center" shrinkToFit="1"/>
    </xf>
    <xf numFmtId="41" fontId="10" fillId="7" borderId="17" xfId="1" applyFont="1" applyFill="1" applyBorder="1">
      <alignment vertical="center"/>
    </xf>
    <xf numFmtId="41" fontId="10" fillId="7" borderId="19" xfId="1" applyFont="1" applyFill="1" applyBorder="1" applyAlignment="1">
      <alignment horizontal="center" vertical="center" shrinkToFit="1"/>
    </xf>
    <xf numFmtId="41" fontId="11" fillId="7" borderId="17" xfId="1" applyFont="1" applyFill="1" applyBorder="1" applyAlignment="1">
      <alignment horizontal="center" vertical="center" shrinkToFit="1"/>
    </xf>
    <xf numFmtId="41" fontId="10" fillId="12" borderId="17" xfId="1" applyFont="1" applyFill="1" applyBorder="1">
      <alignment vertical="center"/>
    </xf>
    <xf numFmtId="41" fontId="10" fillId="0" borderId="17" xfId="1" applyFont="1" applyBorder="1">
      <alignment vertical="center"/>
    </xf>
    <xf numFmtId="41" fontId="16" fillId="0" borderId="17" xfId="1" applyFont="1" applyBorder="1">
      <alignment vertical="center"/>
    </xf>
    <xf numFmtId="9" fontId="10" fillId="0" borderId="17" xfId="2" applyFont="1" applyBorder="1">
      <alignment vertical="center"/>
    </xf>
    <xf numFmtId="179" fontId="10" fillId="16" borderId="17" xfId="2" applyNumberFormat="1" applyFont="1" applyFill="1" applyBorder="1">
      <alignment vertical="center"/>
    </xf>
    <xf numFmtId="179" fontId="10" fillId="0" borderId="17" xfId="2" applyNumberFormat="1" applyFont="1" applyBorder="1">
      <alignment vertical="center"/>
    </xf>
    <xf numFmtId="41" fontId="16" fillId="2" borderId="17" xfId="1" applyFont="1" applyFill="1" applyBorder="1">
      <alignment vertical="center"/>
    </xf>
    <xf numFmtId="10" fontId="10" fillId="0" borderId="17" xfId="2" applyNumberFormat="1" applyFont="1" applyBorder="1">
      <alignment vertical="center"/>
    </xf>
    <xf numFmtId="0" fontId="10" fillId="2" borderId="17" xfId="0" applyFont="1" applyFill="1" applyBorder="1">
      <alignment vertical="center"/>
    </xf>
    <xf numFmtId="41" fontId="13" fillId="6" borderId="17" xfId="0" applyNumberFormat="1" applyFont="1" applyFill="1" applyBorder="1">
      <alignment vertical="center"/>
    </xf>
    <xf numFmtId="9" fontId="10" fillId="13" borderId="17" xfId="0" applyNumberFormat="1" applyFont="1" applyFill="1" applyBorder="1">
      <alignment vertical="center"/>
    </xf>
    <xf numFmtId="0" fontId="10" fillId="13" borderId="17" xfId="0" applyFont="1" applyFill="1" applyBorder="1">
      <alignment vertical="center"/>
    </xf>
    <xf numFmtId="0" fontId="12" fillId="0" borderId="17" xfId="0" applyFont="1" applyBorder="1">
      <alignment vertical="center"/>
    </xf>
    <xf numFmtId="9" fontId="10" fillId="7" borderId="17" xfId="0" applyNumberFormat="1" applyFont="1" applyFill="1" applyBorder="1">
      <alignment vertical="center"/>
    </xf>
    <xf numFmtId="0" fontId="10" fillId="7" borderId="20" xfId="0" applyFont="1" applyFill="1" applyBorder="1">
      <alignment vertical="center"/>
    </xf>
    <xf numFmtId="0" fontId="10" fillId="7" borderId="3" xfId="0" applyFont="1" applyFill="1" applyBorder="1">
      <alignment vertical="center"/>
    </xf>
    <xf numFmtId="0" fontId="10" fillId="0" borderId="3" xfId="0" applyFont="1" applyBorder="1">
      <alignment vertical="center"/>
    </xf>
    <xf numFmtId="9" fontId="10" fillId="7" borderId="3" xfId="0" applyNumberFormat="1" applyFont="1" applyFill="1" applyBorder="1">
      <alignment vertical="center"/>
    </xf>
    <xf numFmtId="9" fontId="10" fillId="12" borderId="3" xfId="0" applyNumberFormat="1" applyFont="1" applyFill="1" applyBorder="1">
      <alignment vertical="center"/>
    </xf>
    <xf numFmtId="0" fontId="10" fillId="12" borderId="3" xfId="0" applyFont="1" applyFill="1" applyBorder="1">
      <alignment vertical="center"/>
    </xf>
    <xf numFmtId="0" fontId="12" fillId="0" borderId="3" xfId="0" applyFont="1" applyBorder="1">
      <alignment vertical="center"/>
    </xf>
    <xf numFmtId="9" fontId="10" fillId="12" borderId="21" xfId="0" applyNumberFormat="1" applyFont="1" applyFill="1" applyBorder="1">
      <alignment vertical="center"/>
    </xf>
    <xf numFmtId="0" fontId="10" fillId="20" borderId="17" xfId="0" applyFont="1" applyFill="1" applyBorder="1" applyAlignment="1">
      <alignment horizontal="center" vertical="center"/>
    </xf>
    <xf numFmtId="0" fontId="10" fillId="20" borderId="18" xfId="0" applyFont="1" applyFill="1" applyBorder="1">
      <alignment vertical="center"/>
    </xf>
    <xf numFmtId="0" fontId="10" fillId="7" borderId="0" xfId="0" applyFont="1" applyFill="1" applyAlignment="1">
      <alignment horizontal="center" vertical="center" shrinkToFit="1"/>
    </xf>
    <xf numFmtId="0" fontId="13" fillId="7" borderId="17" xfId="0" applyFont="1" applyFill="1" applyBorder="1" applyAlignment="1">
      <alignment horizontal="center" vertical="center"/>
    </xf>
    <xf numFmtId="14" fontId="10" fillId="7" borderId="17" xfId="0" applyNumberFormat="1" applyFont="1" applyFill="1" applyBorder="1" applyAlignment="1">
      <alignment horizontal="center" vertical="center" shrinkToFit="1"/>
    </xf>
    <xf numFmtId="177" fontId="10" fillId="7" borderId="17" xfId="0" applyNumberFormat="1" applyFont="1" applyFill="1" applyBorder="1" applyAlignment="1">
      <alignment horizontal="center" vertical="center" shrinkToFit="1"/>
    </xf>
    <xf numFmtId="0" fontId="10" fillId="7" borderId="17" xfId="0" applyFont="1" applyFill="1" applyBorder="1">
      <alignment vertical="center"/>
    </xf>
    <xf numFmtId="0" fontId="10" fillId="7" borderId="17" xfId="0" applyFont="1" applyFill="1" applyBorder="1" applyAlignment="1">
      <alignment horizontal="center" vertical="center"/>
    </xf>
    <xf numFmtId="0" fontId="10" fillId="7" borderId="18" xfId="0" applyFont="1" applyFill="1" applyBorder="1">
      <alignment vertical="center"/>
    </xf>
    <xf numFmtId="41" fontId="16" fillId="7" borderId="17" xfId="1" applyFont="1" applyFill="1" applyBorder="1">
      <alignment vertical="center"/>
    </xf>
    <xf numFmtId="9" fontId="10" fillId="7" borderId="17" xfId="2" applyFont="1" applyFill="1" applyBorder="1">
      <alignment vertical="center"/>
    </xf>
    <xf numFmtId="179" fontId="10" fillId="7" borderId="17" xfId="2" applyNumberFormat="1" applyFont="1" applyFill="1" applyBorder="1">
      <alignment vertical="center"/>
    </xf>
    <xf numFmtId="10" fontId="10" fillId="7" borderId="17" xfId="2" applyNumberFormat="1" applyFont="1" applyFill="1" applyBorder="1">
      <alignment vertical="center"/>
    </xf>
    <xf numFmtId="41" fontId="13" fillId="7" borderId="17" xfId="0" applyNumberFormat="1" applyFont="1" applyFill="1" applyBorder="1">
      <alignment vertical="center"/>
    </xf>
    <xf numFmtId="0" fontId="12" fillId="7" borderId="17" xfId="0" applyFont="1" applyFill="1" applyBorder="1">
      <alignment vertical="center"/>
    </xf>
    <xf numFmtId="0" fontId="12" fillId="7" borderId="3" xfId="0" applyFont="1" applyFill="1" applyBorder="1">
      <alignment vertical="center"/>
    </xf>
    <xf numFmtId="9" fontId="10" fillId="7" borderId="21" xfId="0" applyNumberFormat="1" applyFont="1" applyFill="1" applyBorder="1">
      <alignment vertical="center"/>
    </xf>
    <xf numFmtId="0" fontId="10" fillId="7" borderId="0" xfId="0" applyFont="1" applyFill="1">
      <alignment vertical="center"/>
    </xf>
    <xf numFmtId="9" fontId="10" fillId="21" borderId="17" xfId="0" applyNumberFormat="1" applyFont="1" applyFill="1" applyBorder="1">
      <alignment vertical="center"/>
    </xf>
    <xf numFmtId="0" fontId="10" fillId="21" borderId="17" xfId="0" applyFont="1" applyFill="1" applyBorder="1">
      <alignment vertical="center"/>
    </xf>
    <xf numFmtId="0" fontId="11" fillId="7" borderId="0" xfId="0" applyFont="1" applyFill="1">
      <alignment vertical="center"/>
    </xf>
    <xf numFmtId="41" fontId="15" fillId="14" borderId="12" xfId="1" applyFont="1" applyFill="1" applyBorder="1" applyAlignment="1">
      <alignment horizontal="center" vertical="center"/>
    </xf>
    <xf numFmtId="41" fontId="10" fillId="0" borderId="0" xfId="1" applyFont="1" applyAlignment="1">
      <alignment horizontal="center" vertical="center"/>
    </xf>
    <xf numFmtId="0" fontId="0" fillId="0" borderId="0" xfId="0" applyAlignment="1">
      <alignment horizontal="left" vertical="center" wrapText="1"/>
    </xf>
    <xf numFmtId="41" fontId="15" fillId="0" borderId="12" xfId="1" applyFont="1" applyBorder="1" applyAlignment="1">
      <alignment horizontal="center" vertical="center" wrapText="1"/>
    </xf>
    <xf numFmtId="0" fontId="9" fillId="9" borderId="1" xfId="0" applyFont="1" applyFill="1" applyBorder="1" applyAlignment="1">
      <alignment horizontal="center" vertical="center"/>
    </xf>
    <xf numFmtId="0" fontId="13" fillId="15" borderId="0" xfId="0" applyFont="1" applyFill="1">
      <alignment vertical="center"/>
    </xf>
    <xf numFmtId="0" fontId="13" fillId="15" borderId="12" xfId="0" applyFont="1" applyFill="1" applyBorder="1" applyAlignment="1">
      <alignment vertical="center" wrapText="1"/>
    </xf>
    <xf numFmtId="41" fontId="13" fillId="15" borderId="17" xfId="0" applyNumberFormat="1" applyFont="1" applyFill="1" applyBorder="1">
      <alignment vertical="center"/>
    </xf>
    <xf numFmtId="9" fontId="0" fillId="0" borderId="0" xfId="1" applyNumberFormat="1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5" fillId="6" borderId="22" xfId="0" applyFont="1" applyFill="1" applyBorder="1">
      <alignment vertical="center"/>
    </xf>
    <xf numFmtId="0" fontId="0" fillId="6" borderId="23" xfId="0" applyFill="1" applyBorder="1">
      <alignment vertical="center"/>
    </xf>
    <xf numFmtId="0" fontId="0" fillId="6" borderId="24" xfId="0" applyFill="1" applyBorder="1">
      <alignment vertical="center"/>
    </xf>
    <xf numFmtId="0" fontId="0" fillId="0" borderId="22" xfId="0" applyBorder="1" applyAlignment="1">
      <alignment horizontal="center" vertical="center" wrapText="1"/>
    </xf>
    <xf numFmtId="41" fontId="0" fillId="8" borderId="22" xfId="1" applyFont="1" applyFill="1" applyBorder="1" applyAlignment="1">
      <alignment horizontal="center" vertical="center"/>
    </xf>
    <xf numFmtId="0" fontId="8" fillId="9" borderId="22" xfId="0" applyFont="1" applyFill="1" applyBorder="1" applyAlignment="1">
      <alignment horizontal="center" vertical="center"/>
    </xf>
    <xf numFmtId="41" fontId="0" fillId="10" borderId="24" xfId="1" applyFont="1" applyFill="1" applyBorder="1" applyAlignment="1">
      <alignment horizontal="center" vertical="center" wrapText="1"/>
    </xf>
    <xf numFmtId="41" fontId="0" fillId="8" borderId="24" xfId="1" applyFont="1" applyFill="1" applyBorder="1" applyAlignment="1">
      <alignment horizontal="center" vertical="center"/>
    </xf>
    <xf numFmtId="41" fontId="8" fillId="11" borderId="24" xfId="1" applyFont="1" applyFill="1" applyBorder="1" applyAlignment="1">
      <alignment horizontal="center" vertical="center"/>
    </xf>
    <xf numFmtId="0" fontId="0" fillId="2" borderId="26" xfId="0" applyFill="1" applyBorder="1" applyAlignment="1">
      <alignment horizontal="center" vertical="center" wrapText="1"/>
    </xf>
    <xf numFmtId="0" fontId="0" fillId="4" borderId="27" xfId="0" applyFill="1" applyBorder="1" applyAlignment="1">
      <alignment horizontal="center" vertical="center" wrapText="1"/>
    </xf>
    <xf numFmtId="41" fontId="0" fillId="8" borderId="27" xfId="1" applyFont="1" applyFill="1" applyBorder="1" applyAlignment="1">
      <alignment horizontal="center" vertical="center"/>
    </xf>
    <xf numFmtId="3" fontId="8" fillId="11" borderId="27" xfId="0" applyNumberFormat="1" applyFont="1" applyFill="1" applyBorder="1" applyAlignment="1">
      <alignment horizontal="center" vertical="center"/>
    </xf>
    <xf numFmtId="3" fontId="8" fillId="11" borderId="28" xfId="0" applyNumberFormat="1" applyFont="1" applyFill="1" applyBorder="1" applyAlignment="1">
      <alignment horizontal="center" vertical="center"/>
    </xf>
    <xf numFmtId="0" fontId="4" fillId="0" borderId="25" xfId="0" applyFont="1" applyBorder="1" applyAlignment="1">
      <alignment horizontal="left" vertical="center" wrapText="1"/>
    </xf>
  </cellXfs>
  <cellStyles count="12">
    <cellStyle name="백분율" xfId="2" builtinId="5"/>
    <cellStyle name="쉼표 [0]" xfId="1" builtinId="6"/>
    <cellStyle name="쉼표 [0] 2" xfId="3" xr:uid="{50E9C71F-2D5C-4431-B1F9-DDE19B2AB2F0}"/>
    <cellStyle name="쉼표 [0] 2 2" xfId="6" xr:uid="{AF43028F-2F21-4E9B-BB12-9BEFF9BBE40A}"/>
    <cellStyle name="쉼표 [0] 2 3" xfId="9" xr:uid="{B1E5BF3A-79F0-462F-9D75-F35A05C37497}"/>
    <cellStyle name="쉼표 [0] 3" xfId="4" xr:uid="{47C48FC1-95AA-4E14-ACBD-3A9F7368EC99}"/>
    <cellStyle name="쉼표 [0] 3 2" xfId="7" xr:uid="{7FAC3EFE-3602-46FB-B93F-8BD50D1139EF}"/>
    <cellStyle name="쉼표 [0] 3 3" xfId="10" xr:uid="{D11C2E26-583F-4E65-82D9-94F1D66F3D07}"/>
    <cellStyle name="쉼표 [0] 4" xfId="5" xr:uid="{0D9082FB-2ED0-405A-85AF-91D4C025F348}"/>
    <cellStyle name="쉼표 [0] 5" xfId="8" xr:uid="{5B59670A-2316-42C8-BF0B-06C95F1BD624}"/>
    <cellStyle name="표준" xfId="0" builtinId="0"/>
    <cellStyle name="표준 2 8 10 2" xfId="11" xr:uid="{0EAEB9DF-B3EE-468B-9763-AFA3A4E88A19}"/>
  </cellStyles>
  <dxfs count="18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28575</xdr:colOff>
      <xdr:row>21</xdr:row>
      <xdr:rowOff>104775</xdr:rowOff>
    </xdr:from>
    <xdr:to>
      <xdr:col>17</xdr:col>
      <xdr:colOff>372219</xdr:colOff>
      <xdr:row>37</xdr:row>
      <xdr:rowOff>38559</xdr:rowOff>
    </xdr:to>
    <xdr:pic>
      <xdr:nvPicPr>
        <xdr:cNvPr id="4" name="그림 3">
          <a:extLst>
            <a:ext uri="{FF2B5EF4-FFF2-40B4-BE49-F238E27FC236}">
              <a16:creationId xmlns:a16="http://schemas.microsoft.com/office/drawing/2014/main" id="{B2CB03EA-681F-6441-F256-1390CB537C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344650" y="4505325"/>
          <a:ext cx="5334744" cy="3286584"/>
        </a:xfrm>
        <a:prstGeom prst="rect">
          <a:avLst/>
        </a:prstGeom>
      </xdr:spPr>
    </xdr:pic>
    <xdr:clientData/>
  </xdr:twoCellAnchor>
  <xdr:twoCellAnchor editAs="oneCell">
    <xdr:from>
      <xdr:col>11</xdr:col>
      <xdr:colOff>76200</xdr:colOff>
      <xdr:row>8</xdr:row>
      <xdr:rowOff>38100</xdr:rowOff>
    </xdr:from>
    <xdr:to>
      <xdr:col>17</xdr:col>
      <xdr:colOff>391265</xdr:colOff>
      <xdr:row>21</xdr:row>
      <xdr:rowOff>375</xdr:rowOff>
    </xdr:to>
    <xdr:pic>
      <xdr:nvPicPr>
        <xdr:cNvPr id="5" name="그림 4">
          <a:extLst>
            <a:ext uri="{FF2B5EF4-FFF2-40B4-BE49-F238E27FC236}">
              <a16:creationId xmlns:a16="http://schemas.microsoft.com/office/drawing/2014/main" id="{3DB68AB8-A22A-D125-69E3-5A82D3DA50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392275" y="1714500"/>
          <a:ext cx="5306165" cy="26864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0F7812-4944-4796-A045-78BFE3871158}">
  <sheetPr codeName="Sheet1"/>
  <dimension ref="A1:AF15"/>
  <sheetViews>
    <sheetView showGridLines="0" tabSelected="1" zoomScale="85" zoomScaleNormal="85" workbookViewId="0">
      <selection activeCell="AM18" sqref="AM18"/>
    </sheetView>
  </sheetViews>
  <sheetFormatPr defaultRowHeight="16.5" outlineLevelCol="1" x14ac:dyDescent="0.3"/>
  <cols>
    <col min="1" max="1" width="2.875" customWidth="1"/>
    <col min="3" max="3" width="13" customWidth="1"/>
    <col min="4" max="6" width="14.5" customWidth="1"/>
    <col min="7" max="7" width="15.75" customWidth="1"/>
    <col min="8" max="8" width="61.125" customWidth="1"/>
    <col min="9" max="9" width="12.625" customWidth="1"/>
    <col min="10" max="10" width="10.375" customWidth="1"/>
    <col min="11" max="11" width="34.75" customWidth="1"/>
    <col min="12" max="12" width="10.875" customWidth="1"/>
    <col min="13" max="13" width="12.75" customWidth="1"/>
    <col min="14" max="14" width="10.875" style="49" customWidth="1"/>
    <col min="15" max="15" width="12.125" customWidth="1"/>
    <col min="16" max="16" width="12.125" style="49" customWidth="1"/>
    <col min="18" max="18" width="17.375" customWidth="1"/>
    <col min="19" max="19" width="29.5" customWidth="1"/>
    <col min="20" max="20" width="17.25" customWidth="1"/>
    <col min="21" max="21" width="28.75" customWidth="1"/>
    <col min="22" max="22" width="76.75" hidden="1" customWidth="1" outlineLevel="1"/>
    <col min="23" max="23" width="12.875" hidden="1" customWidth="1" outlineLevel="1"/>
    <col min="24" max="27" width="9" hidden="1" customWidth="1" outlineLevel="1"/>
    <col min="28" max="28" width="8.75" hidden="1" customWidth="1" outlineLevel="1"/>
    <col min="29" max="29" width="9" hidden="1" customWidth="1" outlineLevel="1"/>
    <col min="30" max="30" width="8.75" hidden="1" customWidth="1" outlineLevel="1"/>
    <col min="31" max="31" width="9" hidden="1" customWidth="1" outlineLevel="1"/>
    <col min="32" max="32" width="9" customWidth="1" collapsed="1"/>
  </cols>
  <sheetData>
    <row r="1" spans="1:32" ht="16.5" customHeight="1" x14ac:dyDescent="0.3">
      <c r="C1" s="158"/>
      <c r="D1" s="158"/>
      <c r="F1" s="39" t="s">
        <v>93</v>
      </c>
      <c r="G1" s="38"/>
      <c r="H1" s="159" t="s">
        <v>157</v>
      </c>
      <c r="I1" s="20"/>
      <c r="J1" s="21"/>
      <c r="K1" s="21"/>
      <c r="L1" s="21"/>
      <c r="M1" s="21"/>
      <c r="N1" s="44"/>
      <c r="O1" s="21"/>
      <c r="P1" s="44"/>
      <c r="AF1" s="28" t="s">
        <v>84</v>
      </c>
    </row>
    <row r="2" spans="1:32" ht="17.25" thickBot="1" x14ac:dyDescent="0.35">
      <c r="C2" s="158"/>
      <c r="D2" s="158"/>
      <c r="F2" s="38"/>
      <c r="G2" s="38"/>
      <c r="H2" s="159"/>
      <c r="I2" s="21"/>
      <c r="J2" s="21"/>
      <c r="K2" s="21"/>
      <c r="L2" s="22"/>
      <c r="M2" s="21"/>
      <c r="N2" s="44"/>
      <c r="O2" s="21"/>
      <c r="P2" s="44"/>
      <c r="AF2" s="29" t="s">
        <v>85</v>
      </c>
    </row>
    <row r="3" spans="1:32" x14ac:dyDescent="0.3">
      <c r="C3" s="158"/>
      <c r="D3" s="158"/>
      <c r="F3" s="38"/>
      <c r="G3" s="38"/>
      <c r="H3" s="159"/>
      <c r="I3" s="21"/>
      <c r="J3" s="21"/>
      <c r="K3" s="21"/>
      <c r="L3" s="25"/>
      <c r="M3" s="25"/>
      <c r="N3" s="45"/>
      <c r="O3" s="25"/>
      <c r="P3" s="45"/>
      <c r="AF3" s="27">
        <v>0.5</v>
      </c>
    </row>
    <row r="4" spans="1:32" x14ac:dyDescent="0.3">
      <c r="C4" s="158"/>
      <c r="D4" s="158"/>
      <c r="F4" s="38"/>
      <c r="G4" s="38"/>
      <c r="H4" s="159"/>
      <c r="I4" s="21"/>
      <c r="L4" s="9"/>
      <c r="M4" s="26"/>
      <c r="N4" s="52"/>
      <c r="O4" s="9"/>
      <c r="P4" s="46"/>
      <c r="R4" s="9"/>
      <c r="T4" s="2"/>
      <c r="V4" s="160" t="s">
        <v>76</v>
      </c>
      <c r="W4" s="160"/>
      <c r="X4" s="160"/>
      <c r="Y4" s="160"/>
      <c r="Z4" s="160"/>
      <c r="AA4" s="160"/>
      <c r="AB4" s="160"/>
      <c r="AC4" s="160"/>
      <c r="AD4" s="160"/>
      <c r="AE4" s="160"/>
      <c r="AF4" s="27">
        <v>0.5</v>
      </c>
    </row>
    <row r="5" spans="1:32" x14ac:dyDescent="0.3">
      <c r="C5" s="158"/>
      <c r="D5" s="158"/>
      <c r="E5" s="24"/>
      <c r="F5" s="38"/>
      <c r="G5" s="38"/>
      <c r="H5" s="159"/>
      <c r="I5" s="21"/>
      <c r="J5" s="20" t="s">
        <v>150</v>
      </c>
      <c r="L5" s="9"/>
      <c r="M5" s="26"/>
      <c r="N5" s="52"/>
      <c r="O5" s="9"/>
      <c r="P5" s="46"/>
      <c r="R5" s="9"/>
      <c r="T5" s="2"/>
      <c r="V5" s="17"/>
      <c r="W5" s="17"/>
      <c r="X5" s="17"/>
      <c r="Y5" s="17"/>
      <c r="Z5" s="17"/>
      <c r="AA5" s="17"/>
      <c r="AB5" s="17"/>
      <c r="AC5" s="17"/>
      <c r="AD5" s="17"/>
      <c r="AE5" s="17"/>
      <c r="AF5" s="35"/>
    </row>
    <row r="6" spans="1:32" ht="17.25" thickBot="1" x14ac:dyDescent="0.35">
      <c r="C6" s="158"/>
      <c r="D6" s="158"/>
      <c r="E6" s="24"/>
      <c r="F6" s="38"/>
      <c r="G6" s="38"/>
      <c r="H6" s="159"/>
      <c r="I6" s="21"/>
      <c r="L6" s="9"/>
      <c r="N6" s="53"/>
      <c r="O6" s="9"/>
      <c r="P6" s="46"/>
      <c r="R6" s="9"/>
      <c r="T6" s="2"/>
      <c r="V6" s="17"/>
      <c r="W6" s="17"/>
      <c r="X6" s="17"/>
      <c r="Y6" s="17"/>
      <c r="Z6" s="17"/>
      <c r="AA6" s="17"/>
      <c r="AB6" s="17"/>
      <c r="AC6" s="17"/>
      <c r="AD6" s="17"/>
      <c r="AE6" s="17"/>
      <c r="AF6" s="35"/>
    </row>
    <row r="7" spans="1:32" ht="33" x14ac:dyDescent="0.3">
      <c r="C7" s="24"/>
      <c r="D7" s="24"/>
      <c r="E7" s="24"/>
      <c r="F7" s="38"/>
      <c r="G7" s="38"/>
      <c r="H7" s="159"/>
      <c r="I7" s="21"/>
      <c r="L7" s="9"/>
      <c r="M7" s="176" t="s">
        <v>152</v>
      </c>
      <c r="N7" s="151" t="s">
        <v>155</v>
      </c>
      <c r="O7" s="157">
        <v>0.13</v>
      </c>
      <c r="P7" s="46"/>
      <c r="R7" s="9"/>
      <c r="T7" s="2"/>
      <c r="V7" s="17"/>
      <c r="W7" s="17"/>
      <c r="X7" s="17"/>
      <c r="Y7" s="17"/>
      <c r="Z7" s="17"/>
      <c r="AA7" s="17"/>
      <c r="AB7" s="17"/>
      <c r="AC7" s="17"/>
      <c r="AD7" s="17"/>
      <c r="AE7" s="17"/>
      <c r="AF7" s="35"/>
    </row>
    <row r="8" spans="1:32" ht="30.75" customHeight="1" x14ac:dyDescent="0.3">
      <c r="B8" s="6"/>
      <c r="C8" s="18"/>
      <c r="D8" s="18"/>
      <c r="E8" s="18"/>
      <c r="F8" s="50" t="s">
        <v>97</v>
      </c>
      <c r="G8" s="18"/>
      <c r="H8" s="36"/>
      <c r="I8" s="162" t="s">
        <v>153</v>
      </c>
      <c r="J8" s="163"/>
      <c r="K8" s="164"/>
      <c r="L8" s="37"/>
      <c r="M8" s="171" t="s">
        <v>154</v>
      </c>
      <c r="N8" s="54" t="s">
        <v>156</v>
      </c>
      <c r="O8" s="37" t="s">
        <v>80</v>
      </c>
      <c r="P8" s="47"/>
      <c r="Q8" s="32"/>
      <c r="R8" s="31"/>
      <c r="S8" s="34" t="s">
        <v>92</v>
      </c>
      <c r="T8" s="33"/>
      <c r="U8" s="32"/>
      <c r="V8" s="17"/>
      <c r="W8" s="17"/>
      <c r="X8" s="17"/>
      <c r="Y8" s="17"/>
      <c r="Z8" s="17"/>
      <c r="AA8" s="17"/>
      <c r="AB8" s="17"/>
      <c r="AC8" s="17"/>
      <c r="AD8" s="17"/>
      <c r="AE8" s="17"/>
    </row>
    <row r="9" spans="1:32" ht="66" x14ac:dyDescent="0.3">
      <c r="B9" s="7" t="s">
        <v>20</v>
      </c>
      <c r="C9" s="7" t="s">
        <v>21</v>
      </c>
      <c r="D9" s="7" t="s">
        <v>91</v>
      </c>
      <c r="E9" s="7" t="s">
        <v>90</v>
      </c>
      <c r="F9" s="7" t="s">
        <v>89</v>
      </c>
      <c r="G9" s="7" t="s">
        <v>19</v>
      </c>
      <c r="H9" s="7" t="s">
        <v>0</v>
      </c>
      <c r="I9" s="161" t="s">
        <v>81</v>
      </c>
      <c r="J9" s="161" t="s">
        <v>82</v>
      </c>
      <c r="K9" s="161" t="s">
        <v>83</v>
      </c>
      <c r="L9" s="165" t="s">
        <v>86</v>
      </c>
      <c r="M9" s="172" t="s">
        <v>149</v>
      </c>
      <c r="N9" s="168" t="s">
        <v>148</v>
      </c>
      <c r="O9" s="23" t="s">
        <v>87</v>
      </c>
      <c r="P9" s="48" t="s">
        <v>96</v>
      </c>
      <c r="Q9" s="7" t="s">
        <v>25</v>
      </c>
      <c r="R9" s="7" t="s">
        <v>39</v>
      </c>
      <c r="S9" s="7" t="s">
        <v>37</v>
      </c>
      <c r="T9" s="7" t="s">
        <v>23</v>
      </c>
      <c r="U9" s="7" t="s">
        <v>24</v>
      </c>
      <c r="V9" s="15" t="s">
        <v>68</v>
      </c>
      <c r="W9" s="30" t="s">
        <v>88</v>
      </c>
      <c r="X9" s="7" t="s">
        <v>69</v>
      </c>
      <c r="Y9" s="7" t="s">
        <v>70</v>
      </c>
      <c r="Z9" s="7" t="s">
        <v>71</v>
      </c>
      <c r="AA9" s="7" t="s">
        <v>72</v>
      </c>
      <c r="AB9" s="7"/>
      <c r="AC9" s="7" t="s">
        <v>22</v>
      </c>
      <c r="AD9" s="16"/>
      <c r="AE9" s="7" t="s">
        <v>73</v>
      </c>
    </row>
    <row r="10" spans="1:32" x14ac:dyDescent="0.3">
      <c r="A10" s="9" t="s">
        <v>38</v>
      </c>
      <c r="B10" s="8" t="s">
        <v>35</v>
      </c>
      <c r="C10" s="8" t="s">
        <v>36</v>
      </c>
      <c r="D10" s="8"/>
      <c r="E10" s="8"/>
      <c r="F10" s="8"/>
      <c r="G10" s="8"/>
      <c r="H10" s="41" t="s">
        <v>41</v>
      </c>
      <c r="I10" s="41" t="s">
        <v>62</v>
      </c>
      <c r="J10" s="41" t="s">
        <v>32</v>
      </c>
      <c r="K10" s="41" t="s">
        <v>29</v>
      </c>
      <c r="L10" s="166">
        <v>1000</v>
      </c>
      <c r="M10" s="173">
        <v>26900</v>
      </c>
      <c r="N10" s="169">
        <f t="shared" ref="N10:N11" si="0">ROUNDUP(M10*(1-$O$7),-1)</f>
        <v>23410</v>
      </c>
      <c r="O10" s="43" t="s">
        <v>75</v>
      </c>
      <c r="P10" s="42"/>
      <c r="Q10" s="7" t="str">
        <f t="shared" ref="Q10:Q11" si="1">IFERROR(IF(U10&gt;=R10,"적합","부적합"),)</f>
        <v>적합</v>
      </c>
      <c r="R10" s="42">
        <f t="shared" ref="R10:R15" si="2">IFERROR(N10/L10*100,)</f>
        <v>2341</v>
      </c>
      <c r="S10" s="41" t="str">
        <f t="shared" ref="S10:S15" si="3">I10&amp;J10&amp;K10</f>
        <v>한우 거세 1등급 불고기/국거리</v>
      </c>
      <c r="T10" s="42">
        <f>IFERROR(VLOOKUP(S10,보조!B:C,2,0),)</f>
        <v>2330</v>
      </c>
      <c r="U10" s="42">
        <f>IFERROR(VLOOKUP(S10,보조!B:F,5,0),)</f>
        <v>2500</v>
      </c>
      <c r="V10" s="16" t="e">
        <f>VLOOKUP(G10,Raw!A:N,2,0)</f>
        <v>#N/A</v>
      </c>
      <c r="W10" s="16" t="str">
        <f>IFERROR(IF((M11)&lt;#REF!,0,IF((ROUNDUP(((M11)*#REF!),-1))&gt;#REF!,#REF!,(ROUNDUP(((M11)*#REF!),-1)))),"")</f>
        <v/>
      </c>
      <c r="X10" s="16"/>
      <c r="Y10" s="16"/>
      <c r="Z10" s="16"/>
      <c r="AA10" s="16"/>
      <c r="AB10" s="16"/>
      <c r="AC10" s="16"/>
      <c r="AD10" s="16"/>
      <c r="AE10" s="16"/>
    </row>
    <row r="11" spans="1:32" x14ac:dyDescent="0.3">
      <c r="A11" s="9" t="s">
        <v>38</v>
      </c>
      <c r="B11" s="8" t="s">
        <v>65</v>
      </c>
      <c r="C11" s="8" t="s">
        <v>36</v>
      </c>
      <c r="D11" s="8"/>
      <c r="E11" s="8"/>
      <c r="F11" s="8"/>
      <c r="G11" s="8"/>
      <c r="H11" s="41" t="s">
        <v>66</v>
      </c>
      <c r="I11" s="41" t="s">
        <v>62</v>
      </c>
      <c r="J11" s="41" t="s">
        <v>64</v>
      </c>
      <c r="K11" s="41" t="s">
        <v>54</v>
      </c>
      <c r="L11" s="166">
        <v>300</v>
      </c>
      <c r="M11" s="173">
        <v>16900</v>
      </c>
      <c r="N11" s="169">
        <f t="shared" si="0"/>
        <v>14710</v>
      </c>
      <c r="O11" s="43" t="s">
        <v>75</v>
      </c>
      <c r="P11" s="42"/>
      <c r="Q11" s="7" t="str">
        <f t="shared" si="1"/>
        <v>적합</v>
      </c>
      <c r="R11" s="42">
        <f t="shared" si="2"/>
        <v>4903.333333333333</v>
      </c>
      <c r="S11" s="41" t="str">
        <f t="shared" si="3"/>
        <v>한우 거세 1+등급 양지</v>
      </c>
      <c r="T11" s="42">
        <f>IFERROR(VLOOKUP(S11,보조!B:C,2,0),)</f>
        <v>4580</v>
      </c>
      <c r="U11" s="42">
        <f>IFERROR(VLOOKUP(S11,보조!B:F,5,0),)</f>
        <v>5150</v>
      </c>
      <c r="V11" s="16" t="e">
        <f>VLOOKUP(G11,Raw!A:N,2,0)</f>
        <v>#N/A</v>
      </c>
      <c r="X11" s="16"/>
      <c r="Y11" s="16"/>
      <c r="Z11" s="16"/>
      <c r="AA11" s="16"/>
      <c r="AB11" s="16"/>
      <c r="AC11" s="16"/>
      <c r="AD11" s="16"/>
      <c r="AE11" s="16"/>
    </row>
    <row r="12" spans="1:32" x14ac:dyDescent="0.3">
      <c r="B12" s="51" t="s">
        <v>98</v>
      </c>
      <c r="C12" s="51"/>
      <c r="D12" s="153"/>
      <c r="E12" s="153"/>
      <c r="F12" s="153"/>
      <c r="G12" s="51"/>
      <c r="H12" s="51"/>
      <c r="I12" s="51"/>
      <c r="J12" s="51"/>
      <c r="K12" s="51"/>
      <c r="L12" s="167"/>
      <c r="M12" s="174"/>
      <c r="N12" s="170">
        <f>ROUNDUP(M12*(1-$O$7),-1)</f>
        <v>0</v>
      </c>
      <c r="O12" s="19" t="s">
        <v>100</v>
      </c>
      <c r="P12" s="13">
        <v>4500</v>
      </c>
      <c r="Q12" s="7" t="str">
        <f>IFERROR(IF(T12&gt;=R12,"적합","부적합"),)</f>
        <v>적합</v>
      </c>
      <c r="R12" s="14">
        <f t="shared" si="2"/>
        <v>0</v>
      </c>
      <c r="S12" s="7" t="str">
        <f t="shared" si="3"/>
        <v/>
      </c>
      <c r="T12" s="10">
        <f>IFERROR(VLOOKUP(S12,보조!B:C,2,0),)</f>
        <v>0</v>
      </c>
      <c r="U12" s="10">
        <f>IFERROR(VLOOKUP(S12,보조!B:F,5,0),)</f>
        <v>0</v>
      </c>
      <c r="V12" s="16" t="e">
        <f>VLOOKUP(G12,Raw!A:N,2,0)</f>
        <v>#N/A</v>
      </c>
      <c r="W12" s="16" t="str">
        <f>IFERROR(IF((M12)&lt;#REF!,0,IF((ROUNDUP(((M12)*#REF!),-1))&gt;#REF!,#REF!,(ROUNDUP(((M12)*#REF!),-1)))),"")</f>
        <v/>
      </c>
      <c r="X12" s="16" t="b">
        <f>OR(ISNUMBER(SEARCH("암소",$V12)),ISNUMBER(SEARCH("거세",$V12)))</f>
        <v>0</v>
      </c>
      <c r="Y12" s="16" t="b">
        <f>ISNUMBER(SEARCH("냉장",$V12))</f>
        <v>0</v>
      </c>
      <c r="Z12" s="16" t="e">
        <f>$M12=VLOOKUP($G12,Raw!$A:$F,6,FALSE)</f>
        <v>#N/A</v>
      </c>
      <c r="AA12" s="19" t="s">
        <v>75</v>
      </c>
      <c r="AB12" s="16" t="s">
        <v>33</v>
      </c>
      <c r="AC12" s="16" t="b">
        <f>J12=AB12</f>
        <v>0</v>
      </c>
      <c r="AD12" s="16">
        <v>500</v>
      </c>
      <c r="AE12" s="16" t="b">
        <f>AD12=L12</f>
        <v>0</v>
      </c>
    </row>
    <row r="13" spans="1:32" x14ac:dyDescent="0.3">
      <c r="B13" s="51" t="s">
        <v>98</v>
      </c>
      <c r="C13" s="51"/>
      <c r="D13" s="153"/>
      <c r="E13" s="153"/>
      <c r="F13" s="153"/>
      <c r="G13" s="51"/>
      <c r="H13" s="51"/>
      <c r="I13" s="51"/>
      <c r="J13" s="51"/>
      <c r="K13" s="51"/>
      <c r="L13" s="167"/>
      <c r="M13" s="174"/>
      <c r="N13" s="170">
        <f>ROUNDUP(M13*(1-$O$7),-1)</f>
        <v>0</v>
      </c>
      <c r="O13" s="19" t="s">
        <v>100</v>
      </c>
      <c r="P13" s="13">
        <v>4500</v>
      </c>
      <c r="Q13" s="7" t="str">
        <f>IFERROR(IF(T13&gt;=R13,"적합","부적합"),)</f>
        <v>적합</v>
      </c>
      <c r="R13" s="14">
        <f t="shared" si="2"/>
        <v>0</v>
      </c>
      <c r="S13" s="7" t="str">
        <f t="shared" si="3"/>
        <v/>
      </c>
      <c r="T13" s="10">
        <f>IFERROR(VLOOKUP(S13,보조!B:C,2,0),)</f>
        <v>0</v>
      </c>
      <c r="U13" s="10">
        <f>IFERROR(VLOOKUP(S13,보조!B:F,5,0),)</f>
        <v>0</v>
      </c>
      <c r="V13" s="16" t="e">
        <f>VLOOKUP(G13,Raw!A:N,2,0)</f>
        <v>#N/A</v>
      </c>
      <c r="W13" s="16" t="str">
        <f>IFERROR(IF((M13)&lt;#REF!,0,IF((ROUNDUP(((M13)*#REF!),-1))&gt;#REF!,#REF!,(ROUNDUP(((M13)*#REF!),-1)))),"")</f>
        <v/>
      </c>
      <c r="X13" s="16" t="b">
        <f>OR(ISNUMBER(SEARCH("암소",$V13)),ISNUMBER(SEARCH("거세",$V13)))</f>
        <v>0</v>
      </c>
      <c r="Y13" s="16" t="b">
        <f>ISNUMBER(SEARCH("냉장",$V13))</f>
        <v>0</v>
      </c>
      <c r="Z13" s="16" t="e">
        <f>$M13=VLOOKUP($G13,Raw!$A:$F,6,FALSE)</f>
        <v>#N/A</v>
      </c>
      <c r="AA13" s="19" t="s">
        <v>75</v>
      </c>
      <c r="AB13" s="16" t="s">
        <v>33</v>
      </c>
      <c r="AC13" s="16" t="b">
        <f>J13=AB13</f>
        <v>0</v>
      </c>
      <c r="AD13" s="16">
        <v>500</v>
      </c>
      <c r="AE13" s="16" t="b">
        <f>AD13=L13</f>
        <v>0</v>
      </c>
    </row>
    <row r="14" spans="1:32" x14ac:dyDescent="0.3">
      <c r="B14" s="51" t="s">
        <v>65</v>
      </c>
      <c r="C14" s="51"/>
      <c r="D14" s="153"/>
      <c r="E14" s="153"/>
      <c r="F14" s="153"/>
      <c r="G14" s="51"/>
      <c r="H14" s="51"/>
      <c r="I14" s="51"/>
      <c r="J14" s="51"/>
      <c r="K14" s="51"/>
      <c r="L14" s="167"/>
      <c r="M14" s="174"/>
      <c r="N14" s="170">
        <f>ROUNDUP(M14*(1-$O$7),-1)</f>
        <v>0</v>
      </c>
      <c r="O14" s="19" t="s">
        <v>100</v>
      </c>
      <c r="P14" s="13">
        <v>4500</v>
      </c>
      <c r="Q14" s="7" t="str">
        <f>IFERROR(IF(T14&gt;=R14,"적합","부적합"),)</f>
        <v>적합</v>
      </c>
      <c r="R14" s="14">
        <f t="shared" si="2"/>
        <v>0</v>
      </c>
      <c r="S14" s="7" t="str">
        <f t="shared" si="3"/>
        <v/>
      </c>
      <c r="T14" s="10">
        <f>IFERROR(VLOOKUP(S14,보조!B:C,2,0),)</f>
        <v>0</v>
      </c>
      <c r="U14" s="10">
        <f>IFERROR(VLOOKUP(S14,보조!B:F,5,0),)</f>
        <v>0</v>
      </c>
      <c r="V14" s="16" t="e">
        <f>VLOOKUP(G14,Raw!A:N,2,0)</f>
        <v>#N/A</v>
      </c>
      <c r="W14" s="16" t="str">
        <f>IFERROR(IF((M14)&lt;#REF!,0,IF((ROUNDUP(((M14)*#REF!),-1))&gt;#REF!,#REF!,(ROUNDUP(((M14)*#REF!),-1)))),"")</f>
        <v/>
      </c>
      <c r="X14" s="16" t="b">
        <f>OR(ISNUMBER(SEARCH("암소",$V14)),ISNUMBER(SEARCH("거세",$V14)))</f>
        <v>0</v>
      </c>
      <c r="Y14" s="16" t="b">
        <f>ISNUMBER(SEARCH("냉장",$V14))</f>
        <v>0</v>
      </c>
      <c r="Z14" s="16" t="e">
        <f>$M14=VLOOKUP($G14,Raw!$A:$F,6,FALSE)</f>
        <v>#N/A</v>
      </c>
      <c r="AA14" s="19" t="s">
        <v>75</v>
      </c>
      <c r="AB14" s="16" t="s">
        <v>33</v>
      </c>
      <c r="AC14" s="16" t="b">
        <f>J14=AB14</f>
        <v>0</v>
      </c>
      <c r="AD14" s="16">
        <v>500</v>
      </c>
      <c r="AE14" s="16" t="b">
        <f>AD14=L14</f>
        <v>0</v>
      </c>
    </row>
    <row r="15" spans="1:32" ht="17.25" thickBot="1" x14ac:dyDescent="0.35">
      <c r="B15" s="51" t="s">
        <v>65</v>
      </c>
      <c r="C15" s="51"/>
      <c r="D15" s="153"/>
      <c r="E15" s="153"/>
      <c r="F15" s="153"/>
      <c r="G15" s="51"/>
      <c r="H15" s="51"/>
      <c r="I15" s="51"/>
      <c r="J15" s="51"/>
      <c r="K15" s="51"/>
      <c r="L15" s="167"/>
      <c r="M15" s="175"/>
      <c r="N15" s="170">
        <f>ROUNDUP(M15*(1-$O$7),-1)</f>
        <v>0</v>
      </c>
      <c r="O15" s="19" t="s">
        <v>100</v>
      </c>
      <c r="P15" s="13">
        <v>4500</v>
      </c>
      <c r="Q15" s="7" t="str">
        <f>IFERROR(IF(T15&gt;=R15,"적합","부적합"),)</f>
        <v>적합</v>
      </c>
      <c r="R15" s="14">
        <f t="shared" si="2"/>
        <v>0</v>
      </c>
      <c r="S15" s="7" t="str">
        <f t="shared" si="3"/>
        <v/>
      </c>
      <c r="T15" s="10">
        <f>IFERROR(VLOOKUP(S15,보조!B:C,2,0),)</f>
        <v>0</v>
      </c>
      <c r="U15" s="10">
        <f>IFERROR(VLOOKUP(S15,보조!B:F,5,0),)</f>
        <v>0</v>
      </c>
      <c r="V15" s="16" t="e">
        <f>VLOOKUP(G15,Raw!A:N,2,0)</f>
        <v>#N/A</v>
      </c>
      <c r="W15" s="16" t="str">
        <f>IFERROR(IF((M15)&lt;#REF!,0,IF((ROUNDUP(((M15)*#REF!),-1))&gt;#REF!,#REF!,(ROUNDUP(((M15)*#REF!),-1)))),"")</f>
        <v/>
      </c>
      <c r="X15" s="16" t="b">
        <f>OR(ISNUMBER(SEARCH("암소",$V15)),ISNUMBER(SEARCH("거세",$V15)))</f>
        <v>0</v>
      </c>
      <c r="Y15" s="16" t="b">
        <f>ISNUMBER(SEARCH("냉장",$V15))</f>
        <v>0</v>
      </c>
      <c r="Z15" s="16" t="e">
        <f>$M15=VLOOKUP($G15,Raw!$A:$F,6,FALSE)</f>
        <v>#N/A</v>
      </c>
      <c r="AA15" s="19" t="s">
        <v>75</v>
      </c>
      <c r="AB15" s="16" t="s">
        <v>33</v>
      </c>
      <c r="AC15" s="16" t="b">
        <f>J15=AB15</f>
        <v>0</v>
      </c>
      <c r="AD15" s="16">
        <v>500</v>
      </c>
      <c r="AE15" s="16" t="b">
        <f>AD15=L15</f>
        <v>0</v>
      </c>
    </row>
  </sheetData>
  <mergeCells count="3">
    <mergeCell ref="C1:D6"/>
    <mergeCell ref="H1:H7"/>
    <mergeCell ref="V4:AE4"/>
  </mergeCells>
  <phoneticPr fontId="2" type="noConversion"/>
  <conditionalFormatting sqref="D16:G1048576 E1:F1 E2:G7 D8:G11">
    <cfRule type="duplicateValues" dxfId="183" priority="3177"/>
  </conditionalFormatting>
  <conditionalFormatting sqref="O9:Q9 AA9:AA1048576 O16:Q1048576">
    <cfRule type="containsText" dxfId="182" priority="2" operator="containsText" text="만원이상 무료">
      <formula>NOT(ISERROR(SEARCH("만원이상 무료",O9)))</formula>
    </cfRule>
    <cfRule type="containsText" dxfId="181" priority="3" operator="containsText" text="유료">
      <formula>NOT(ISERROR(SEARCH("유료",O9)))</formula>
    </cfRule>
  </conditionalFormatting>
  <conditionalFormatting sqref="Q11:Q15">
    <cfRule type="containsText" dxfId="180" priority="8" operator="containsText" text="부적합">
      <formula>NOT(ISERROR(SEARCH("부적합",Q11)))</formula>
    </cfRule>
  </conditionalFormatting>
  <conditionalFormatting sqref="X9:Z1048576 AC9:AC1048576 AE9:AE1048576">
    <cfRule type="containsText" dxfId="179" priority="6" operator="containsText" text="TRUE">
      <formula>NOT(ISERROR(SEARCH("TRUE",X9)))</formula>
    </cfRule>
  </conditionalFormatting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4D8BB319-0B37-4EBF-951B-D0B5A50BEB33}">
          <x14:formula1>
            <xm:f>보조!$L$2:$L$3</xm:f>
          </x14:formula1>
          <xm:sqref>I10:I15</xm:sqref>
        </x14:dataValidation>
        <x14:dataValidation type="list" allowBlank="1" showInputMessage="1" showErrorMessage="1" xr:uid="{CF1F9BA9-8846-43E0-B56D-0DBDF675CAB8}">
          <x14:formula1>
            <xm:f>보조!$M$2:$M$4</xm:f>
          </x14:formula1>
          <xm:sqref>J10:J15</xm:sqref>
        </x14:dataValidation>
        <x14:dataValidation type="list" allowBlank="1" showInputMessage="1" showErrorMessage="1" xr:uid="{AAB08737-0D26-425F-A21A-E52E9012FDD4}">
          <x14:formula1>
            <xm:f>보조!$N$2:$N$6</xm:f>
          </x14:formula1>
          <xm:sqref>K10:K15</xm:sqref>
        </x14:dataValidation>
        <x14:dataValidation type="list" allowBlank="1" showInputMessage="1" showErrorMessage="1" xr:uid="{8E066BBC-BE00-4247-8670-11015C63207C}">
          <x14:formula1>
            <xm:f>보조!$O$2:$O$5</xm:f>
          </x14:formula1>
          <xm:sqref>O10:O15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156225-46E9-445D-ABE5-AC7F0BB86A8A}">
  <dimension ref="A1:BC20"/>
  <sheetViews>
    <sheetView workbookViewId="0">
      <selection activeCell="G12" sqref="G12"/>
    </sheetView>
  </sheetViews>
  <sheetFormatPr defaultRowHeight="11.25" outlineLevelCol="1" x14ac:dyDescent="0.3"/>
  <cols>
    <col min="1" max="1" width="5.125" style="55" customWidth="1"/>
    <col min="2" max="3" width="9" style="55"/>
    <col min="4" max="4" width="9" style="66"/>
    <col min="5" max="5" width="9" style="55"/>
    <col min="6" max="6" width="11.625" style="67" bestFit="1" customWidth="1"/>
    <col min="7" max="7" width="45.875" style="55" customWidth="1"/>
    <col min="8" max="9" width="9" style="55"/>
    <col min="10" max="10" width="9" style="67"/>
    <col min="11" max="11" width="9.125" style="58" bestFit="1" customWidth="1"/>
    <col min="12" max="12" width="9" style="145"/>
    <col min="13" max="13" width="9" style="148"/>
    <col min="14" max="15" width="9.125" style="60" bestFit="1" customWidth="1"/>
    <col min="16" max="21" width="9.125" style="55" bestFit="1" customWidth="1"/>
    <col min="22" max="24" width="9" style="55" customWidth="1" outlineLevel="1"/>
    <col min="25" max="25" width="9.125" style="55" bestFit="1" customWidth="1"/>
    <col min="26" max="28" width="9" style="55" customWidth="1" outlineLevel="1"/>
    <col min="29" max="29" width="9.375" style="55" bestFit="1" customWidth="1"/>
    <col min="30" max="30" width="0" style="55" hidden="1" customWidth="1" outlineLevel="1"/>
    <col min="31" max="31" width="9.125" style="55" bestFit="1" customWidth="1" collapsed="1"/>
    <col min="32" max="33" width="9.125" style="55" bestFit="1" customWidth="1"/>
    <col min="34" max="35" width="9" style="55" outlineLevel="1"/>
    <col min="36" max="38" width="9.125" style="55" bestFit="1" customWidth="1"/>
    <col min="39" max="40" width="0" style="55" hidden="1" customWidth="1" outlineLevel="1"/>
    <col min="41" max="41" width="9.125" style="55" bestFit="1" customWidth="1" collapsed="1"/>
    <col min="42" max="42" width="9.125" style="55" bestFit="1" customWidth="1"/>
    <col min="43" max="43" width="9" style="55"/>
    <col min="44" max="45" width="0" style="55" hidden="1" customWidth="1" outlineLevel="1"/>
    <col min="46" max="46" width="9.125" style="55" bestFit="1" customWidth="1" collapsed="1"/>
    <col min="47" max="48" width="9.125" style="55" bestFit="1" customWidth="1"/>
    <col min="49" max="50" width="9.125" style="55" hidden="1" customWidth="1" outlineLevel="1"/>
    <col min="51" max="51" width="9.125" style="55" bestFit="1" customWidth="1" collapsed="1"/>
    <col min="52" max="52" width="9.125" style="55" bestFit="1" customWidth="1"/>
    <col min="53" max="16384" width="9" style="55"/>
  </cols>
  <sheetData>
    <row r="1" spans="1:55" x14ac:dyDescent="0.3">
      <c r="B1" s="56"/>
      <c r="C1" s="56"/>
      <c r="I1" s="57"/>
      <c r="J1" s="150"/>
      <c r="L1" s="58"/>
      <c r="M1" s="59"/>
      <c r="T1" s="61">
        <v>0.3</v>
      </c>
      <c r="U1" s="62">
        <v>8.4</v>
      </c>
      <c r="Y1" s="63"/>
      <c r="AC1" s="55" t="s">
        <v>101</v>
      </c>
      <c r="AE1" s="64"/>
      <c r="AF1" s="154"/>
      <c r="AL1" s="55" t="s">
        <v>102</v>
      </c>
      <c r="AM1" s="65">
        <v>0.15</v>
      </c>
      <c r="AN1" s="55">
        <v>10000</v>
      </c>
      <c r="AO1" s="55">
        <v>10000</v>
      </c>
    </row>
    <row r="2" spans="1:55" ht="12" thickBot="1" x14ac:dyDescent="0.35">
      <c r="B2" s="56"/>
      <c r="C2" s="56"/>
      <c r="H2" s="68"/>
      <c r="I2" s="57"/>
      <c r="J2" s="150"/>
      <c r="L2" s="58"/>
      <c r="M2" s="59"/>
      <c r="N2" s="60" t="s">
        <v>103</v>
      </c>
      <c r="O2" s="60" t="s">
        <v>104</v>
      </c>
      <c r="T2" s="61">
        <v>0.2</v>
      </c>
      <c r="U2" s="69">
        <v>9.6</v>
      </c>
      <c r="Y2" s="63"/>
      <c r="AA2" s="70" t="s">
        <v>105</v>
      </c>
      <c r="AE2" s="64"/>
      <c r="AF2" s="154"/>
      <c r="AL2" s="55" t="s">
        <v>106</v>
      </c>
      <c r="AM2" s="65">
        <v>0.2</v>
      </c>
      <c r="AN2" s="55">
        <v>50000</v>
      </c>
      <c r="AO2" s="55">
        <v>50000</v>
      </c>
    </row>
    <row r="3" spans="1:55" ht="24.75" customHeight="1" thickBot="1" x14ac:dyDescent="0.35">
      <c r="A3" s="71" t="s">
        <v>107</v>
      </c>
      <c r="B3" s="72" t="s">
        <v>108</v>
      </c>
      <c r="C3" s="72" t="s">
        <v>109</v>
      </c>
      <c r="D3" s="73" t="s">
        <v>110</v>
      </c>
      <c r="E3" s="71" t="s">
        <v>111</v>
      </c>
      <c r="F3" s="74" t="s">
        <v>19</v>
      </c>
      <c r="G3" s="75" t="s">
        <v>0</v>
      </c>
      <c r="H3" s="76" t="s">
        <v>112</v>
      </c>
      <c r="I3" s="77" t="s">
        <v>113</v>
      </c>
      <c r="J3" s="152" t="s">
        <v>147</v>
      </c>
      <c r="K3" s="149" t="s">
        <v>114</v>
      </c>
      <c r="L3" s="149" t="s">
        <v>115</v>
      </c>
      <c r="M3" s="78" t="s">
        <v>151</v>
      </c>
      <c r="N3" s="79" t="s">
        <v>116</v>
      </c>
      <c r="O3" s="79" t="s">
        <v>117</v>
      </c>
      <c r="P3" s="80" t="s">
        <v>118</v>
      </c>
      <c r="Q3" s="81" t="s">
        <v>119</v>
      </c>
      <c r="R3" s="82" t="s">
        <v>120</v>
      </c>
      <c r="S3" s="83" t="s">
        <v>121</v>
      </c>
      <c r="T3" s="84" t="s">
        <v>122</v>
      </c>
      <c r="U3" s="85" t="s">
        <v>123</v>
      </c>
      <c r="V3" s="86" t="s">
        <v>123</v>
      </c>
      <c r="W3" s="82" t="s">
        <v>124</v>
      </c>
      <c r="X3" s="82" t="s">
        <v>125</v>
      </c>
      <c r="Y3" s="81" t="s">
        <v>126</v>
      </c>
      <c r="Z3" s="86" t="s">
        <v>127</v>
      </c>
      <c r="AA3" s="86" t="s">
        <v>128</v>
      </c>
      <c r="AB3" s="86" t="s">
        <v>129</v>
      </c>
      <c r="AC3" s="87" t="s">
        <v>130</v>
      </c>
      <c r="AD3" s="88" t="s">
        <v>131</v>
      </c>
      <c r="AE3" s="89" t="s">
        <v>132</v>
      </c>
      <c r="AF3" s="155" t="s">
        <v>133</v>
      </c>
      <c r="AG3" s="90" t="s">
        <v>134</v>
      </c>
      <c r="AH3" s="90" t="s">
        <v>135</v>
      </c>
      <c r="AI3" s="90" t="s">
        <v>136</v>
      </c>
      <c r="AJ3" s="90" t="s">
        <v>137</v>
      </c>
      <c r="AK3" s="90" t="s">
        <v>138</v>
      </c>
      <c r="AL3" s="91" t="s">
        <v>139</v>
      </c>
      <c r="AM3" s="91" t="s">
        <v>135</v>
      </c>
      <c r="AN3" s="91" t="s">
        <v>136</v>
      </c>
      <c r="AO3" s="91" t="s">
        <v>137</v>
      </c>
      <c r="AP3" s="91" t="s">
        <v>140</v>
      </c>
      <c r="AQ3" s="91" t="s">
        <v>141</v>
      </c>
      <c r="AR3" s="91" t="s">
        <v>135</v>
      </c>
      <c r="AS3" s="91" t="s">
        <v>136</v>
      </c>
      <c r="AT3" s="91" t="s">
        <v>137</v>
      </c>
      <c r="AU3" s="91" t="s">
        <v>140</v>
      </c>
      <c r="AV3" s="92" t="s">
        <v>142</v>
      </c>
      <c r="AW3" s="92" t="s">
        <v>135</v>
      </c>
      <c r="AX3" s="92" t="s">
        <v>136</v>
      </c>
      <c r="AY3" s="92" t="s">
        <v>137</v>
      </c>
      <c r="AZ3" s="92" t="s">
        <v>140</v>
      </c>
      <c r="BA3" s="93" t="s">
        <v>143</v>
      </c>
      <c r="BB3" s="94" t="s">
        <v>144</v>
      </c>
      <c r="BC3" s="95" t="s">
        <v>145</v>
      </c>
    </row>
    <row r="4" spans="1:55" x14ac:dyDescent="0.3">
      <c r="A4" s="96" t="s">
        <v>35</v>
      </c>
      <c r="B4" s="132" t="s">
        <v>146</v>
      </c>
      <c r="C4" s="97"/>
      <c r="D4" s="98"/>
      <c r="E4" s="99"/>
      <c r="F4" s="128"/>
      <c r="G4" s="129"/>
      <c r="H4" s="130" t="str">
        <f t="shared" ref="H4:H20" si="0">"리스팅 노출행사가 : "&amp;P4&amp;"원 /"&amp;"한우협회13%중복쿠폰행사가: "&amp;L4&amp;"원/"&amp;"판매자 정산가: "&amp;AF4&amp;"원//으로행사준비부탁드립니다 가격세팅은 10월 25일 직전까지 완료 해주시기 바랍니다.."</f>
        <v>리스팅 노출행사가 : 0원 /한우협회13%중복쿠폰행사가: 0원/판매자 정산가: 0원//으로행사준비부탁드립니다 가격세팅은 10월 25일 직전까지 완료 해주시기 바랍니다..</v>
      </c>
      <c r="I4" s="104"/>
      <c r="J4" s="104"/>
      <c r="K4" s="103"/>
      <c r="L4" s="104">
        <f>IFERROR((N4-O4)-AJ4,"")</f>
        <v>0</v>
      </c>
      <c r="M4" s="105">
        <f>AF4-I4</f>
        <v>0</v>
      </c>
      <c r="N4" s="106">
        <f t="shared" ref="N4:N20" si="1">ROUNDUP(K4/(100%-S4),-2)</f>
        <v>0</v>
      </c>
      <c r="O4" s="106">
        <f t="shared" ref="O4:O20" si="2">N4-K4</f>
        <v>0</v>
      </c>
      <c r="P4" s="107">
        <f t="shared" ref="P4:P20" si="3">N4-O4</f>
        <v>0</v>
      </c>
      <c r="Q4" s="108">
        <f t="shared" ref="Q4:Q20" si="4">ROUNDUP(INT(K4*AD4%),-1)</f>
        <v>0</v>
      </c>
      <c r="R4" s="107">
        <f t="shared" ref="R4:R20" si="5">N4-O4-Q4</f>
        <v>0</v>
      </c>
      <c r="S4" s="109">
        <v>0</v>
      </c>
      <c r="T4" s="109">
        <v>0.12</v>
      </c>
      <c r="U4" s="110">
        <v>0.12</v>
      </c>
      <c r="V4" s="111">
        <f t="shared" ref="V4:V20" si="6">U4</f>
        <v>0.12</v>
      </c>
      <c r="W4" s="107">
        <f t="shared" ref="W4:W20" si="7">Q4*0.15</f>
        <v>0</v>
      </c>
      <c r="X4" s="107">
        <f t="shared" ref="X4:X20" si="8">N4*V4+W4</f>
        <v>0</v>
      </c>
      <c r="Y4" s="112">
        <f t="shared" ref="Y4:Y20" si="9">+N4-X4-O4</f>
        <v>0</v>
      </c>
      <c r="Z4" s="107">
        <f t="shared" ref="Z4:Z20" si="10">X4+W4</f>
        <v>0</v>
      </c>
      <c r="AA4" s="111" t="e">
        <f t="shared" ref="AA4:AA20" si="11">(Z4/N4)/1.1</f>
        <v>#DIV/0!</v>
      </c>
      <c r="AB4" s="107">
        <f t="shared" ref="AB4:AB20" si="12">Z4-(AO4*(1-AP4))-(AJ4*(1-AK4))</f>
        <v>0</v>
      </c>
      <c r="AC4" s="113" t="e">
        <f t="shared" ref="AC4:AC20" si="13">(AB4/N4)/1.1</f>
        <v>#DIV/0!</v>
      </c>
      <c r="AD4" s="114">
        <v>0</v>
      </c>
      <c r="AE4" s="115">
        <f t="shared" ref="AE4:AE20" si="14">IFERROR((N4-O4)-AJ4,"")</f>
        <v>0</v>
      </c>
      <c r="AF4" s="156">
        <f t="shared" ref="AF4:AF20" si="15">IFERROR(Y4-(AJ4*AK4),"")</f>
        <v>0</v>
      </c>
      <c r="AG4" s="116">
        <v>0.13</v>
      </c>
      <c r="AH4" s="117">
        <v>5000</v>
      </c>
      <c r="AI4" s="117">
        <v>30000</v>
      </c>
      <c r="AJ4" s="118">
        <f t="shared" ref="AJ4:AJ20" si="16">IFERROR(IF((P4-Q4)&lt;AH4,0,IF((ROUNDUP(((P4)*AG4),-1))&gt;AI4,AI4,(ROUNDUP(((P4)*AG4),-1)))),"")</f>
        <v>0</v>
      </c>
      <c r="AK4" s="116">
        <v>0</v>
      </c>
      <c r="AL4" s="119">
        <v>0</v>
      </c>
      <c r="AM4" s="120">
        <v>50000</v>
      </c>
      <c r="AN4" s="121">
        <v>50000</v>
      </c>
      <c r="AO4" s="122">
        <f t="shared" ref="AO4:AO20" si="17">IFERROR(IF((P4)&lt;AM4,0,IF((ROUNDUP(((P4)*AL4),-1))&gt;AN4,AN4,(ROUNDUP(((P4)*AL4),-1)))),"")</f>
        <v>0</v>
      </c>
      <c r="AP4" s="123">
        <v>0.5</v>
      </c>
      <c r="AQ4" s="123"/>
      <c r="AR4" s="121">
        <v>10000</v>
      </c>
      <c r="AS4" s="121">
        <v>3000</v>
      </c>
      <c r="AT4" s="122">
        <f t="shared" ref="AT4:AT20" si="18">IFERROR(IF((P4)&lt;AR4,0,IF((ROUNDUP(((P4)*AQ4),-1))&gt;AS4,AS4,(ROUNDUP(((P4)*AQ4),-1)))),"")</f>
        <v>0</v>
      </c>
      <c r="AU4" s="123">
        <v>0.15</v>
      </c>
      <c r="AV4" s="124">
        <v>0</v>
      </c>
      <c r="AW4" s="125">
        <v>50000</v>
      </c>
      <c r="AX4" s="125">
        <v>70000</v>
      </c>
      <c r="AY4" s="126" t="str">
        <f>IFERROR(IF((#REF!)&lt;AW4,0,IF((ROUNDUP(((#REF!)*AV4),-1))&gt;AX4,AX4,(ROUNDUP(((#REF!)*AV4),-1)))),"")</f>
        <v/>
      </c>
      <c r="AZ4" s="127">
        <v>0.5</v>
      </c>
    </row>
    <row r="5" spans="1:55" x14ac:dyDescent="0.3">
      <c r="A5" s="96" t="s">
        <v>98</v>
      </c>
      <c r="B5" s="132" t="s">
        <v>146</v>
      </c>
      <c r="C5" s="97"/>
      <c r="D5" s="98"/>
      <c r="E5" s="99"/>
      <c r="F5" s="128"/>
      <c r="G5" s="129"/>
      <c r="H5" s="130" t="str">
        <f t="shared" si="0"/>
        <v>리스팅 노출행사가 : 0원 /한우협회13%중복쿠폰행사가: 0원/판매자 정산가: 0원//으로행사준비부탁드립니다 가격세팅은 10월 25일 직전까지 완료 해주시기 바랍니다..</v>
      </c>
      <c r="I5" s="104"/>
      <c r="J5" s="104"/>
      <c r="K5" s="103"/>
      <c r="L5" s="104">
        <f t="shared" ref="L5:L20" si="19">IFERROR((N5-O5)-AJ5,"")</f>
        <v>0</v>
      </c>
      <c r="M5" s="105" t="e">
        <f>#REF!-I5</f>
        <v>#REF!</v>
      </c>
      <c r="N5" s="106">
        <f t="shared" si="1"/>
        <v>0</v>
      </c>
      <c r="O5" s="106">
        <f t="shared" si="2"/>
        <v>0</v>
      </c>
      <c r="P5" s="107">
        <f t="shared" si="3"/>
        <v>0</v>
      </c>
      <c r="Q5" s="108">
        <f t="shared" si="4"/>
        <v>0</v>
      </c>
      <c r="R5" s="107">
        <f t="shared" si="5"/>
        <v>0</v>
      </c>
      <c r="S5" s="109">
        <v>0</v>
      </c>
      <c r="T5" s="109">
        <v>0.12</v>
      </c>
      <c r="U5" s="110">
        <v>0.12</v>
      </c>
      <c r="V5" s="111">
        <f t="shared" si="6"/>
        <v>0.12</v>
      </c>
      <c r="W5" s="107">
        <f t="shared" si="7"/>
        <v>0</v>
      </c>
      <c r="X5" s="107">
        <f t="shared" si="8"/>
        <v>0</v>
      </c>
      <c r="Y5" s="112">
        <f t="shared" si="9"/>
        <v>0</v>
      </c>
      <c r="Z5" s="107">
        <f t="shared" si="10"/>
        <v>0</v>
      </c>
      <c r="AA5" s="111" t="e">
        <f t="shared" si="11"/>
        <v>#DIV/0!</v>
      </c>
      <c r="AB5" s="107">
        <f t="shared" si="12"/>
        <v>0</v>
      </c>
      <c r="AC5" s="113" t="e">
        <f t="shared" si="13"/>
        <v>#DIV/0!</v>
      </c>
      <c r="AD5" s="114">
        <v>0</v>
      </c>
      <c r="AE5" s="115">
        <f t="shared" si="14"/>
        <v>0</v>
      </c>
      <c r="AF5" s="156">
        <f t="shared" si="15"/>
        <v>0</v>
      </c>
      <c r="AG5" s="116">
        <v>0.13</v>
      </c>
      <c r="AH5" s="117">
        <v>5000</v>
      </c>
      <c r="AI5" s="117">
        <v>30000</v>
      </c>
      <c r="AJ5" s="118">
        <f t="shared" si="16"/>
        <v>0</v>
      </c>
      <c r="AK5" s="116">
        <v>0</v>
      </c>
      <c r="AL5" s="119">
        <v>0</v>
      </c>
      <c r="AM5" s="120">
        <v>50000</v>
      </c>
      <c r="AN5" s="121">
        <v>50000</v>
      </c>
      <c r="AO5" s="122">
        <f t="shared" si="17"/>
        <v>0</v>
      </c>
      <c r="AP5" s="123">
        <v>0.5</v>
      </c>
      <c r="AQ5" s="123"/>
      <c r="AR5" s="121">
        <v>10000</v>
      </c>
      <c r="AS5" s="121">
        <v>3000</v>
      </c>
      <c r="AT5" s="122">
        <f t="shared" si="18"/>
        <v>0</v>
      </c>
      <c r="AU5" s="123">
        <v>0.15</v>
      </c>
      <c r="AV5" s="124">
        <v>0</v>
      </c>
      <c r="AW5" s="125">
        <v>50000</v>
      </c>
      <c r="AX5" s="125">
        <v>70000</v>
      </c>
      <c r="AY5" s="126" t="str">
        <f>IFERROR(IF((#REF!)&lt;AW5,0,IF((ROUNDUP(((#REF!)*AV5),-1))&gt;AX5,AX5,(ROUNDUP(((#REF!)*AV5),-1)))),"")</f>
        <v/>
      </c>
      <c r="AZ5" s="127">
        <v>0.5</v>
      </c>
    </row>
    <row r="6" spans="1:55" x14ac:dyDescent="0.3">
      <c r="A6" s="96" t="s">
        <v>98</v>
      </c>
      <c r="B6" s="132" t="s">
        <v>146</v>
      </c>
      <c r="C6" s="97"/>
      <c r="D6" s="98"/>
      <c r="E6" s="99"/>
      <c r="F6" s="128"/>
      <c r="G6" s="129"/>
      <c r="H6" s="130" t="str">
        <f t="shared" si="0"/>
        <v>리스팅 노출행사가 : 0원 /한우협회13%중복쿠폰행사가: 0원/판매자 정산가: 0원//으로행사준비부탁드립니다 가격세팅은 10월 25일 직전까지 완료 해주시기 바랍니다..</v>
      </c>
      <c r="I6" s="104"/>
      <c r="J6" s="104"/>
      <c r="K6" s="103"/>
      <c r="L6" s="104">
        <f t="shared" si="19"/>
        <v>0</v>
      </c>
      <c r="M6" s="105" t="e">
        <f>#REF!-I6</f>
        <v>#REF!</v>
      </c>
      <c r="N6" s="106">
        <f t="shared" si="1"/>
        <v>0</v>
      </c>
      <c r="O6" s="106">
        <f t="shared" si="2"/>
        <v>0</v>
      </c>
      <c r="P6" s="107">
        <f t="shared" si="3"/>
        <v>0</v>
      </c>
      <c r="Q6" s="108">
        <f t="shared" si="4"/>
        <v>0</v>
      </c>
      <c r="R6" s="107">
        <f t="shared" si="5"/>
        <v>0</v>
      </c>
      <c r="S6" s="109">
        <v>0</v>
      </c>
      <c r="T6" s="109">
        <v>0.12</v>
      </c>
      <c r="U6" s="110">
        <v>0.12</v>
      </c>
      <c r="V6" s="111">
        <f t="shared" si="6"/>
        <v>0.12</v>
      </c>
      <c r="W6" s="107">
        <f t="shared" si="7"/>
        <v>0</v>
      </c>
      <c r="X6" s="107">
        <f t="shared" si="8"/>
        <v>0</v>
      </c>
      <c r="Y6" s="112">
        <f t="shared" si="9"/>
        <v>0</v>
      </c>
      <c r="Z6" s="107">
        <f t="shared" si="10"/>
        <v>0</v>
      </c>
      <c r="AA6" s="111" t="e">
        <f t="shared" si="11"/>
        <v>#DIV/0!</v>
      </c>
      <c r="AB6" s="107">
        <f t="shared" si="12"/>
        <v>0</v>
      </c>
      <c r="AC6" s="113" t="e">
        <f t="shared" si="13"/>
        <v>#DIV/0!</v>
      </c>
      <c r="AD6" s="114">
        <v>0</v>
      </c>
      <c r="AE6" s="115">
        <f t="shared" si="14"/>
        <v>0</v>
      </c>
      <c r="AF6" s="156">
        <f t="shared" si="15"/>
        <v>0</v>
      </c>
      <c r="AG6" s="116">
        <v>0.13</v>
      </c>
      <c r="AH6" s="117">
        <v>5000</v>
      </c>
      <c r="AI6" s="117">
        <v>30000</v>
      </c>
      <c r="AJ6" s="118">
        <f t="shared" si="16"/>
        <v>0</v>
      </c>
      <c r="AK6" s="116">
        <v>0</v>
      </c>
      <c r="AL6" s="119">
        <v>0</v>
      </c>
      <c r="AM6" s="120">
        <v>50000</v>
      </c>
      <c r="AN6" s="121">
        <v>50000</v>
      </c>
      <c r="AO6" s="122">
        <f t="shared" si="17"/>
        <v>0</v>
      </c>
      <c r="AP6" s="123">
        <v>0.5</v>
      </c>
      <c r="AQ6" s="123"/>
      <c r="AR6" s="121">
        <v>10000</v>
      </c>
      <c r="AS6" s="121">
        <v>3000</v>
      </c>
      <c r="AT6" s="122">
        <f t="shared" si="18"/>
        <v>0</v>
      </c>
      <c r="AU6" s="123">
        <v>0.15</v>
      </c>
      <c r="AV6" s="124">
        <v>0</v>
      </c>
      <c r="AW6" s="125">
        <v>50000</v>
      </c>
      <c r="AX6" s="125">
        <v>70000</v>
      </c>
      <c r="AY6" s="126" t="str">
        <f>IFERROR(IF((#REF!)&lt;AW6,0,IF((ROUNDUP(((#REF!)*AV6),-1))&gt;AX6,AX6,(ROUNDUP(((#REF!)*AV6),-1)))),"")</f>
        <v/>
      </c>
      <c r="AZ6" s="127">
        <v>0.5</v>
      </c>
    </row>
    <row r="7" spans="1:55" x14ac:dyDescent="0.3">
      <c r="A7" s="96" t="s">
        <v>98</v>
      </c>
      <c r="B7" s="132" t="s">
        <v>146</v>
      </c>
      <c r="C7" s="97"/>
      <c r="D7" s="98"/>
      <c r="E7" s="99"/>
      <c r="F7" s="128"/>
      <c r="G7" s="129"/>
      <c r="H7" s="130" t="str">
        <f t="shared" si="0"/>
        <v>리스팅 노출행사가 : 0원 /한우협회13%중복쿠폰행사가: 0원/판매자 정산가: 0원//으로행사준비부탁드립니다 가격세팅은 10월 25일 직전까지 완료 해주시기 바랍니다..</v>
      </c>
      <c r="I7" s="104"/>
      <c r="J7" s="104"/>
      <c r="K7" s="103"/>
      <c r="L7" s="104">
        <f t="shared" si="19"/>
        <v>0</v>
      </c>
      <c r="M7" s="105" t="e">
        <f>#REF!-I7</f>
        <v>#REF!</v>
      </c>
      <c r="N7" s="106">
        <f t="shared" si="1"/>
        <v>0</v>
      </c>
      <c r="O7" s="106">
        <f t="shared" si="2"/>
        <v>0</v>
      </c>
      <c r="P7" s="107">
        <f t="shared" si="3"/>
        <v>0</v>
      </c>
      <c r="Q7" s="108">
        <f t="shared" si="4"/>
        <v>0</v>
      </c>
      <c r="R7" s="107">
        <f t="shared" si="5"/>
        <v>0</v>
      </c>
      <c r="S7" s="109">
        <v>0</v>
      </c>
      <c r="T7" s="109">
        <v>0.12</v>
      </c>
      <c r="U7" s="110">
        <v>0.12</v>
      </c>
      <c r="V7" s="111">
        <f t="shared" si="6"/>
        <v>0.12</v>
      </c>
      <c r="W7" s="107">
        <f t="shared" si="7"/>
        <v>0</v>
      </c>
      <c r="X7" s="107">
        <f t="shared" si="8"/>
        <v>0</v>
      </c>
      <c r="Y7" s="112">
        <f t="shared" si="9"/>
        <v>0</v>
      </c>
      <c r="Z7" s="107">
        <f t="shared" si="10"/>
        <v>0</v>
      </c>
      <c r="AA7" s="111" t="e">
        <f t="shared" si="11"/>
        <v>#DIV/0!</v>
      </c>
      <c r="AB7" s="107">
        <f t="shared" si="12"/>
        <v>0</v>
      </c>
      <c r="AC7" s="113" t="e">
        <f t="shared" si="13"/>
        <v>#DIV/0!</v>
      </c>
      <c r="AD7" s="114">
        <v>0</v>
      </c>
      <c r="AE7" s="115">
        <f t="shared" si="14"/>
        <v>0</v>
      </c>
      <c r="AF7" s="156">
        <f t="shared" si="15"/>
        <v>0</v>
      </c>
      <c r="AG7" s="116">
        <v>0.13</v>
      </c>
      <c r="AH7" s="117">
        <v>5000</v>
      </c>
      <c r="AI7" s="117">
        <v>30000</v>
      </c>
      <c r="AJ7" s="118">
        <f t="shared" si="16"/>
        <v>0</v>
      </c>
      <c r="AK7" s="116">
        <v>0</v>
      </c>
      <c r="AL7" s="119">
        <v>0</v>
      </c>
      <c r="AM7" s="120">
        <v>50000</v>
      </c>
      <c r="AN7" s="121">
        <v>50000</v>
      </c>
      <c r="AO7" s="122">
        <f t="shared" si="17"/>
        <v>0</v>
      </c>
      <c r="AP7" s="123">
        <v>0.5</v>
      </c>
      <c r="AQ7" s="123"/>
      <c r="AR7" s="121">
        <v>10000</v>
      </c>
      <c r="AS7" s="121">
        <v>3000</v>
      </c>
      <c r="AT7" s="122">
        <f t="shared" si="18"/>
        <v>0</v>
      </c>
      <c r="AU7" s="123">
        <v>0.15</v>
      </c>
      <c r="AV7" s="124">
        <v>0</v>
      </c>
      <c r="AW7" s="125">
        <v>50000</v>
      </c>
      <c r="AX7" s="125">
        <v>70000</v>
      </c>
      <c r="AY7" s="126" t="str">
        <f>IFERROR(IF((#REF!)&lt;AW7,0,IF((ROUNDUP(((#REF!)*AV7),-1))&gt;AX7,AX7,(ROUNDUP(((#REF!)*AV7),-1)))),"")</f>
        <v/>
      </c>
      <c r="AZ7" s="127">
        <v>0.5</v>
      </c>
    </row>
    <row r="8" spans="1:55" x14ac:dyDescent="0.3">
      <c r="A8" s="96" t="s">
        <v>35</v>
      </c>
      <c r="B8" s="132" t="s">
        <v>146</v>
      </c>
      <c r="C8" s="97"/>
      <c r="D8" s="98"/>
      <c r="E8" s="99"/>
      <c r="F8" s="128"/>
      <c r="G8" s="129"/>
      <c r="H8" s="130" t="str">
        <f t="shared" si="0"/>
        <v>리스팅 노출행사가 : 0원 /한우협회13%중복쿠폰행사가: 0원/판매자 정산가: 0원//으로행사준비부탁드립니다 가격세팅은 10월 25일 직전까지 완료 해주시기 바랍니다..</v>
      </c>
      <c r="I8" s="104"/>
      <c r="J8" s="104"/>
      <c r="K8" s="103"/>
      <c r="L8" s="104">
        <f t="shared" si="19"/>
        <v>0</v>
      </c>
      <c r="M8" s="105" t="e">
        <f>#REF!-I8</f>
        <v>#REF!</v>
      </c>
      <c r="N8" s="106">
        <f t="shared" si="1"/>
        <v>0</v>
      </c>
      <c r="O8" s="106">
        <f t="shared" si="2"/>
        <v>0</v>
      </c>
      <c r="P8" s="107">
        <f t="shared" ref="P8:P11" si="20">N8-O8</f>
        <v>0</v>
      </c>
      <c r="Q8" s="108">
        <f t="shared" si="4"/>
        <v>0</v>
      </c>
      <c r="R8" s="107">
        <f t="shared" ref="R8:R11" si="21">N8-O8-Q8</f>
        <v>0</v>
      </c>
      <c r="S8" s="109">
        <v>0</v>
      </c>
      <c r="T8" s="109">
        <v>0.12</v>
      </c>
      <c r="U8" s="110">
        <v>0.12</v>
      </c>
      <c r="V8" s="111">
        <f t="shared" ref="V8:V11" si="22">U8</f>
        <v>0.12</v>
      </c>
      <c r="W8" s="107">
        <f t="shared" ref="W8:W11" si="23">Q8*0.15</f>
        <v>0</v>
      </c>
      <c r="X8" s="107">
        <f t="shared" ref="X8:X11" si="24">N8*V8+W8</f>
        <v>0</v>
      </c>
      <c r="Y8" s="112">
        <f t="shared" ref="Y8:Y11" si="25">+N8-X8-O8</f>
        <v>0</v>
      </c>
      <c r="Z8" s="107">
        <f t="shared" si="10"/>
        <v>0</v>
      </c>
      <c r="AA8" s="111" t="e">
        <f t="shared" si="11"/>
        <v>#DIV/0!</v>
      </c>
      <c r="AB8" s="107">
        <f t="shared" si="12"/>
        <v>0</v>
      </c>
      <c r="AC8" s="113" t="e">
        <f t="shared" si="13"/>
        <v>#DIV/0!</v>
      </c>
      <c r="AD8" s="114">
        <v>0</v>
      </c>
      <c r="AE8" s="115">
        <f t="shared" si="14"/>
        <v>0</v>
      </c>
      <c r="AF8" s="156">
        <f t="shared" si="15"/>
        <v>0</v>
      </c>
      <c r="AG8" s="116">
        <v>0.13</v>
      </c>
      <c r="AH8" s="117">
        <v>5000</v>
      </c>
      <c r="AI8" s="117">
        <v>30000</v>
      </c>
      <c r="AJ8" s="118">
        <f t="shared" si="16"/>
        <v>0</v>
      </c>
      <c r="AK8" s="116">
        <v>0</v>
      </c>
      <c r="AL8" s="119">
        <v>0</v>
      </c>
      <c r="AM8" s="120">
        <v>50000</v>
      </c>
      <c r="AN8" s="121">
        <v>50000</v>
      </c>
      <c r="AO8" s="122">
        <f t="shared" si="17"/>
        <v>0</v>
      </c>
      <c r="AP8" s="123">
        <v>0.5</v>
      </c>
      <c r="AQ8" s="123"/>
      <c r="AR8" s="121">
        <v>10000</v>
      </c>
      <c r="AS8" s="121">
        <v>3000</v>
      </c>
      <c r="AT8" s="122">
        <f t="shared" si="18"/>
        <v>0</v>
      </c>
      <c r="AU8" s="123">
        <v>0.15</v>
      </c>
      <c r="AV8" s="124">
        <v>0</v>
      </c>
      <c r="AW8" s="125">
        <v>50000</v>
      </c>
      <c r="AX8" s="125">
        <v>70000</v>
      </c>
      <c r="AY8" s="126" t="str">
        <f>IFERROR(IF((#REF!)&lt;AW8,0,IF((ROUNDUP(((#REF!)*AV8),-1))&gt;AX8,AX8,(ROUNDUP(((#REF!)*AV8),-1)))),"")</f>
        <v/>
      </c>
      <c r="AZ8" s="127">
        <v>0.5</v>
      </c>
    </row>
    <row r="9" spans="1:55" x14ac:dyDescent="0.3">
      <c r="A9" s="96" t="s">
        <v>98</v>
      </c>
      <c r="B9" s="132" t="s">
        <v>146</v>
      </c>
      <c r="C9" s="97"/>
      <c r="D9" s="98"/>
      <c r="E9" s="99"/>
      <c r="F9" s="128"/>
      <c r="G9" s="129"/>
      <c r="H9" s="130" t="str">
        <f t="shared" si="0"/>
        <v>리스팅 노출행사가 : 0원 /한우협회13%중복쿠폰행사가: 0원/판매자 정산가: 0원//으로행사준비부탁드립니다 가격세팅은 10월 25일 직전까지 완료 해주시기 바랍니다..</v>
      </c>
      <c r="I9" s="104"/>
      <c r="J9" s="104"/>
      <c r="K9" s="103"/>
      <c r="L9" s="104">
        <f t="shared" si="19"/>
        <v>0</v>
      </c>
      <c r="M9" s="105" t="e">
        <f>#REF!-I9</f>
        <v>#REF!</v>
      </c>
      <c r="N9" s="106">
        <f t="shared" si="1"/>
        <v>0</v>
      </c>
      <c r="O9" s="106">
        <f t="shared" si="2"/>
        <v>0</v>
      </c>
      <c r="P9" s="107">
        <f t="shared" si="20"/>
        <v>0</v>
      </c>
      <c r="Q9" s="108">
        <f t="shared" si="4"/>
        <v>0</v>
      </c>
      <c r="R9" s="107">
        <f t="shared" si="21"/>
        <v>0</v>
      </c>
      <c r="S9" s="109">
        <v>0</v>
      </c>
      <c r="T9" s="109">
        <v>0.12</v>
      </c>
      <c r="U9" s="110">
        <v>0.12</v>
      </c>
      <c r="V9" s="111">
        <f t="shared" si="22"/>
        <v>0.12</v>
      </c>
      <c r="W9" s="107">
        <f t="shared" si="23"/>
        <v>0</v>
      </c>
      <c r="X9" s="107">
        <f t="shared" si="24"/>
        <v>0</v>
      </c>
      <c r="Y9" s="112">
        <f t="shared" si="25"/>
        <v>0</v>
      </c>
      <c r="Z9" s="107">
        <f t="shared" si="10"/>
        <v>0</v>
      </c>
      <c r="AA9" s="111" t="e">
        <f t="shared" si="11"/>
        <v>#DIV/0!</v>
      </c>
      <c r="AB9" s="107">
        <f t="shared" si="12"/>
        <v>0</v>
      </c>
      <c r="AC9" s="113" t="e">
        <f t="shared" si="13"/>
        <v>#DIV/0!</v>
      </c>
      <c r="AD9" s="114">
        <v>0</v>
      </c>
      <c r="AE9" s="115">
        <f t="shared" si="14"/>
        <v>0</v>
      </c>
      <c r="AF9" s="156">
        <f t="shared" si="15"/>
        <v>0</v>
      </c>
      <c r="AG9" s="116">
        <v>0.13</v>
      </c>
      <c r="AH9" s="117">
        <v>5000</v>
      </c>
      <c r="AI9" s="117">
        <v>30000</v>
      </c>
      <c r="AJ9" s="118">
        <f t="shared" si="16"/>
        <v>0</v>
      </c>
      <c r="AK9" s="116">
        <v>0</v>
      </c>
      <c r="AL9" s="119">
        <v>0</v>
      </c>
      <c r="AM9" s="120">
        <v>50000</v>
      </c>
      <c r="AN9" s="121">
        <v>50000</v>
      </c>
      <c r="AO9" s="122">
        <f t="shared" si="17"/>
        <v>0</v>
      </c>
      <c r="AP9" s="123">
        <v>0.5</v>
      </c>
      <c r="AQ9" s="123"/>
      <c r="AR9" s="121">
        <v>10000</v>
      </c>
      <c r="AS9" s="121">
        <v>3000</v>
      </c>
      <c r="AT9" s="122">
        <f t="shared" si="18"/>
        <v>0</v>
      </c>
      <c r="AU9" s="123">
        <v>0.15</v>
      </c>
      <c r="AV9" s="124">
        <v>0</v>
      </c>
      <c r="AW9" s="125">
        <v>50000</v>
      </c>
      <c r="AX9" s="125">
        <v>70000</v>
      </c>
      <c r="AY9" s="126" t="str">
        <f>IFERROR(IF((#REF!)&lt;AW9,0,IF((ROUNDUP(((#REF!)*AV9),-1))&gt;AX9,AX9,(ROUNDUP(((#REF!)*AV9),-1)))),"")</f>
        <v/>
      </c>
      <c r="AZ9" s="127">
        <v>0.5</v>
      </c>
    </row>
    <row r="10" spans="1:55" x14ac:dyDescent="0.3">
      <c r="A10" s="96" t="s">
        <v>98</v>
      </c>
      <c r="B10" s="132" t="s">
        <v>146</v>
      </c>
      <c r="C10" s="97"/>
      <c r="D10" s="98"/>
      <c r="E10" s="99"/>
      <c r="F10" s="128"/>
      <c r="G10" s="129"/>
      <c r="H10" s="130" t="str">
        <f t="shared" si="0"/>
        <v>리스팅 노출행사가 : 0원 /한우협회13%중복쿠폰행사가: 0원/판매자 정산가: 0원//으로행사준비부탁드립니다 가격세팅은 10월 25일 직전까지 완료 해주시기 바랍니다..</v>
      </c>
      <c r="I10" s="104"/>
      <c r="J10" s="104"/>
      <c r="K10" s="103"/>
      <c r="L10" s="104">
        <f t="shared" si="19"/>
        <v>0</v>
      </c>
      <c r="M10" s="105" t="e">
        <f>#REF!-I10</f>
        <v>#REF!</v>
      </c>
      <c r="N10" s="106">
        <f t="shared" si="1"/>
        <v>0</v>
      </c>
      <c r="O10" s="106">
        <f t="shared" si="2"/>
        <v>0</v>
      </c>
      <c r="P10" s="107">
        <f t="shared" si="20"/>
        <v>0</v>
      </c>
      <c r="Q10" s="108">
        <f t="shared" si="4"/>
        <v>0</v>
      </c>
      <c r="R10" s="107">
        <f t="shared" si="21"/>
        <v>0</v>
      </c>
      <c r="S10" s="109">
        <v>0</v>
      </c>
      <c r="T10" s="109">
        <v>0.12</v>
      </c>
      <c r="U10" s="110">
        <v>0.12</v>
      </c>
      <c r="V10" s="111">
        <f t="shared" si="22"/>
        <v>0.12</v>
      </c>
      <c r="W10" s="107">
        <f t="shared" si="23"/>
        <v>0</v>
      </c>
      <c r="X10" s="107">
        <f t="shared" si="24"/>
        <v>0</v>
      </c>
      <c r="Y10" s="112">
        <f t="shared" si="25"/>
        <v>0</v>
      </c>
      <c r="Z10" s="107">
        <f t="shared" si="10"/>
        <v>0</v>
      </c>
      <c r="AA10" s="111" t="e">
        <f t="shared" si="11"/>
        <v>#DIV/0!</v>
      </c>
      <c r="AB10" s="107">
        <f t="shared" si="12"/>
        <v>0</v>
      </c>
      <c r="AC10" s="113" t="e">
        <f t="shared" si="13"/>
        <v>#DIV/0!</v>
      </c>
      <c r="AD10" s="114">
        <v>0</v>
      </c>
      <c r="AE10" s="115">
        <f t="shared" si="14"/>
        <v>0</v>
      </c>
      <c r="AF10" s="156">
        <f t="shared" si="15"/>
        <v>0</v>
      </c>
      <c r="AG10" s="116">
        <v>0.13</v>
      </c>
      <c r="AH10" s="117">
        <v>5000</v>
      </c>
      <c r="AI10" s="117">
        <v>30000</v>
      </c>
      <c r="AJ10" s="118">
        <f t="shared" si="16"/>
        <v>0</v>
      </c>
      <c r="AK10" s="116">
        <v>0</v>
      </c>
      <c r="AL10" s="119">
        <v>0</v>
      </c>
      <c r="AM10" s="120">
        <v>50000</v>
      </c>
      <c r="AN10" s="121">
        <v>50000</v>
      </c>
      <c r="AO10" s="122">
        <f t="shared" si="17"/>
        <v>0</v>
      </c>
      <c r="AP10" s="123">
        <v>0.5</v>
      </c>
      <c r="AQ10" s="123"/>
      <c r="AR10" s="121">
        <v>10000</v>
      </c>
      <c r="AS10" s="121">
        <v>3000</v>
      </c>
      <c r="AT10" s="122">
        <f t="shared" si="18"/>
        <v>0</v>
      </c>
      <c r="AU10" s="123">
        <v>0.15</v>
      </c>
      <c r="AV10" s="124">
        <v>0</v>
      </c>
      <c r="AW10" s="125">
        <v>50000</v>
      </c>
      <c r="AX10" s="125">
        <v>70000</v>
      </c>
      <c r="AY10" s="126" t="str">
        <f>IFERROR(IF((#REF!)&lt;AW10,0,IF((ROUNDUP(((#REF!)*AV10),-1))&gt;AX10,AX10,(ROUNDUP(((#REF!)*AV10),-1)))),"")</f>
        <v/>
      </c>
      <c r="AZ10" s="127">
        <v>0.5</v>
      </c>
    </row>
    <row r="11" spans="1:55" x14ac:dyDescent="0.3">
      <c r="A11" s="96" t="s">
        <v>98</v>
      </c>
      <c r="B11" s="132" t="s">
        <v>146</v>
      </c>
      <c r="C11" s="97"/>
      <c r="D11" s="98"/>
      <c r="E11" s="99"/>
      <c r="F11" s="128"/>
      <c r="G11" s="129"/>
      <c r="H11" s="130" t="str">
        <f t="shared" si="0"/>
        <v>리스팅 노출행사가 : 0원 /한우협회13%중복쿠폰행사가: 0원/판매자 정산가: 0원//으로행사준비부탁드립니다 가격세팅은 10월 25일 직전까지 완료 해주시기 바랍니다..</v>
      </c>
      <c r="I11" s="104"/>
      <c r="J11" s="104"/>
      <c r="K11" s="103"/>
      <c r="L11" s="104">
        <f t="shared" si="19"/>
        <v>0</v>
      </c>
      <c r="M11" s="105" t="e">
        <f>#REF!-I11</f>
        <v>#REF!</v>
      </c>
      <c r="N11" s="106">
        <f t="shared" si="1"/>
        <v>0</v>
      </c>
      <c r="O11" s="106">
        <f t="shared" si="2"/>
        <v>0</v>
      </c>
      <c r="P11" s="107">
        <f t="shared" si="20"/>
        <v>0</v>
      </c>
      <c r="Q11" s="108">
        <f t="shared" si="4"/>
        <v>0</v>
      </c>
      <c r="R11" s="107">
        <f t="shared" si="21"/>
        <v>0</v>
      </c>
      <c r="S11" s="109">
        <v>0</v>
      </c>
      <c r="T11" s="109">
        <v>0.12</v>
      </c>
      <c r="U11" s="110">
        <v>0.12</v>
      </c>
      <c r="V11" s="111">
        <f t="shared" si="22"/>
        <v>0.12</v>
      </c>
      <c r="W11" s="107">
        <f t="shared" si="23"/>
        <v>0</v>
      </c>
      <c r="X11" s="107">
        <f t="shared" si="24"/>
        <v>0</v>
      </c>
      <c r="Y11" s="112">
        <f t="shared" si="25"/>
        <v>0</v>
      </c>
      <c r="Z11" s="107">
        <f t="shared" si="10"/>
        <v>0</v>
      </c>
      <c r="AA11" s="111" t="e">
        <f t="shared" si="11"/>
        <v>#DIV/0!</v>
      </c>
      <c r="AB11" s="107">
        <f t="shared" si="12"/>
        <v>0</v>
      </c>
      <c r="AC11" s="113" t="e">
        <f t="shared" si="13"/>
        <v>#DIV/0!</v>
      </c>
      <c r="AD11" s="114">
        <v>0</v>
      </c>
      <c r="AE11" s="115">
        <f t="shared" si="14"/>
        <v>0</v>
      </c>
      <c r="AF11" s="156">
        <f t="shared" si="15"/>
        <v>0</v>
      </c>
      <c r="AG11" s="116">
        <v>0.13</v>
      </c>
      <c r="AH11" s="117">
        <v>5000</v>
      </c>
      <c r="AI11" s="117">
        <v>30000</v>
      </c>
      <c r="AJ11" s="118">
        <f t="shared" si="16"/>
        <v>0</v>
      </c>
      <c r="AK11" s="116">
        <v>0</v>
      </c>
      <c r="AL11" s="119">
        <v>0</v>
      </c>
      <c r="AM11" s="120">
        <v>50000</v>
      </c>
      <c r="AN11" s="121">
        <v>50000</v>
      </c>
      <c r="AO11" s="122">
        <f t="shared" si="17"/>
        <v>0</v>
      </c>
      <c r="AP11" s="123">
        <v>0.5</v>
      </c>
      <c r="AQ11" s="123"/>
      <c r="AR11" s="121">
        <v>10000</v>
      </c>
      <c r="AS11" s="121">
        <v>3000</v>
      </c>
      <c r="AT11" s="122">
        <f t="shared" si="18"/>
        <v>0</v>
      </c>
      <c r="AU11" s="123">
        <v>0.15</v>
      </c>
      <c r="AV11" s="124">
        <v>0</v>
      </c>
      <c r="AW11" s="125">
        <v>50000</v>
      </c>
      <c r="AX11" s="125">
        <v>70000</v>
      </c>
      <c r="AY11" s="126" t="str">
        <f>IFERROR(IF((#REF!)&lt;AW11,0,IF((ROUNDUP(((#REF!)*AV11),-1))&gt;AX11,AX11,(ROUNDUP(((#REF!)*AV11),-1)))),"")</f>
        <v/>
      </c>
      <c r="AZ11" s="127">
        <v>0.5</v>
      </c>
    </row>
    <row r="12" spans="1:55" s="145" customFormat="1" x14ac:dyDescent="0.3">
      <c r="A12" s="131" t="s">
        <v>99</v>
      </c>
      <c r="B12" s="132" t="s">
        <v>146</v>
      </c>
      <c r="C12" s="132"/>
      <c r="D12" s="133"/>
      <c r="E12" s="134"/>
      <c r="F12" s="135"/>
      <c r="G12" s="136"/>
      <c r="H12" s="130" t="str">
        <f t="shared" si="0"/>
        <v>리스팅 노출행사가 : 0원 /한우협회13%중복쿠폰행사가: 0원/판매자 정산가: 0원//으로행사준비부탁드립니다 가격세팅은 10월 25일 직전까지 완료 해주시기 바랍니다..</v>
      </c>
      <c r="I12" s="104"/>
      <c r="J12" s="104"/>
      <c r="K12" s="103"/>
      <c r="L12" s="104">
        <f t="shared" si="19"/>
        <v>0</v>
      </c>
      <c r="M12" s="105" t="e">
        <f>#REF!-I12</f>
        <v>#REF!</v>
      </c>
      <c r="N12" s="103">
        <f t="shared" si="1"/>
        <v>0</v>
      </c>
      <c r="O12" s="103">
        <f t="shared" si="2"/>
        <v>0</v>
      </c>
      <c r="P12" s="103">
        <f t="shared" si="3"/>
        <v>0</v>
      </c>
      <c r="Q12" s="137">
        <f t="shared" si="4"/>
        <v>0</v>
      </c>
      <c r="R12" s="103">
        <f t="shared" si="5"/>
        <v>0</v>
      </c>
      <c r="S12" s="138">
        <v>0</v>
      </c>
      <c r="T12" s="138">
        <v>0.12</v>
      </c>
      <c r="U12" s="110">
        <v>0.12</v>
      </c>
      <c r="V12" s="139">
        <f t="shared" si="6"/>
        <v>0.12</v>
      </c>
      <c r="W12" s="103">
        <f t="shared" si="7"/>
        <v>0</v>
      </c>
      <c r="X12" s="103">
        <f t="shared" si="8"/>
        <v>0</v>
      </c>
      <c r="Y12" s="137">
        <f t="shared" si="9"/>
        <v>0</v>
      </c>
      <c r="Z12" s="103">
        <f t="shared" si="10"/>
        <v>0</v>
      </c>
      <c r="AA12" s="139" t="e">
        <f t="shared" si="11"/>
        <v>#DIV/0!</v>
      </c>
      <c r="AB12" s="103">
        <f t="shared" si="12"/>
        <v>0</v>
      </c>
      <c r="AC12" s="140" t="e">
        <f t="shared" si="13"/>
        <v>#DIV/0!</v>
      </c>
      <c r="AD12" s="134">
        <v>0</v>
      </c>
      <c r="AE12" s="141">
        <f t="shared" si="14"/>
        <v>0</v>
      </c>
      <c r="AF12" s="156">
        <f t="shared" si="15"/>
        <v>0</v>
      </c>
      <c r="AG12" s="119">
        <v>0.13</v>
      </c>
      <c r="AH12" s="134">
        <v>5000</v>
      </c>
      <c r="AI12" s="134">
        <v>30000</v>
      </c>
      <c r="AJ12" s="142">
        <f t="shared" si="16"/>
        <v>0</v>
      </c>
      <c r="AK12" s="119">
        <v>0</v>
      </c>
      <c r="AL12" s="119">
        <v>0</v>
      </c>
      <c r="AM12" s="120">
        <v>50000</v>
      </c>
      <c r="AN12" s="121">
        <v>50000</v>
      </c>
      <c r="AO12" s="121">
        <f t="shared" si="17"/>
        <v>0</v>
      </c>
      <c r="AP12" s="123">
        <v>0.5</v>
      </c>
      <c r="AQ12" s="123"/>
      <c r="AR12" s="121">
        <v>10000</v>
      </c>
      <c r="AS12" s="121">
        <v>3000</v>
      </c>
      <c r="AT12" s="121">
        <f t="shared" si="18"/>
        <v>0</v>
      </c>
      <c r="AU12" s="123">
        <v>0.15</v>
      </c>
      <c r="AV12" s="123">
        <v>0</v>
      </c>
      <c r="AW12" s="121">
        <v>50000</v>
      </c>
      <c r="AX12" s="121">
        <v>70000</v>
      </c>
      <c r="AY12" s="143" t="str">
        <f>IFERROR(IF((#REF!)&lt;AW12,0,IF((ROUNDUP(((#REF!)*AV12),-1))&gt;AX12,AX12,(ROUNDUP(((#REF!)*AV12),-1)))),"")</f>
        <v/>
      </c>
      <c r="AZ12" s="144">
        <v>0.5</v>
      </c>
    </row>
    <row r="13" spans="1:55" s="145" customFormat="1" x14ac:dyDescent="0.3">
      <c r="A13" s="131" t="s">
        <v>99</v>
      </c>
      <c r="B13" s="132" t="s">
        <v>146</v>
      </c>
      <c r="C13" s="132"/>
      <c r="D13" s="133"/>
      <c r="E13" s="134"/>
      <c r="F13" s="135"/>
      <c r="G13" s="136"/>
      <c r="H13" s="130" t="str">
        <f t="shared" si="0"/>
        <v>리스팅 노출행사가 : 0원 /한우협회13%중복쿠폰행사가: 0원/판매자 정산가: 0원//으로행사준비부탁드립니다 가격세팅은 10월 25일 직전까지 완료 해주시기 바랍니다..</v>
      </c>
      <c r="I13" s="104"/>
      <c r="J13" s="104"/>
      <c r="K13" s="103"/>
      <c r="L13" s="104">
        <f t="shared" si="19"/>
        <v>0</v>
      </c>
      <c r="M13" s="105" t="e">
        <f>#REF!-I13</f>
        <v>#REF!</v>
      </c>
      <c r="N13" s="103">
        <f t="shared" si="1"/>
        <v>0</v>
      </c>
      <c r="O13" s="103">
        <f t="shared" si="2"/>
        <v>0</v>
      </c>
      <c r="P13" s="103">
        <f t="shared" si="3"/>
        <v>0</v>
      </c>
      <c r="Q13" s="137">
        <f t="shared" si="4"/>
        <v>0</v>
      </c>
      <c r="R13" s="103">
        <f t="shared" si="5"/>
        <v>0</v>
      </c>
      <c r="S13" s="138">
        <v>0</v>
      </c>
      <c r="T13" s="138">
        <v>0.12</v>
      </c>
      <c r="U13" s="110">
        <v>0.12</v>
      </c>
      <c r="V13" s="139">
        <f t="shared" si="6"/>
        <v>0.12</v>
      </c>
      <c r="W13" s="103">
        <f t="shared" si="7"/>
        <v>0</v>
      </c>
      <c r="X13" s="103">
        <f t="shared" si="8"/>
        <v>0</v>
      </c>
      <c r="Y13" s="137">
        <f t="shared" si="9"/>
        <v>0</v>
      </c>
      <c r="Z13" s="103">
        <f t="shared" si="10"/>
        <v>0</v>
      </c>
      <c r="AA13" s="139" t="e">
        <f t="shared" si="11"/>
        <v>#DIV/0!</v>
      </c>
      <c r="AB13" s="103">
        <f t="shared" si="12"/>
        <v>0</v>
      </c>
      <c r="AC13" s="140" t="e">
        <f t="shared" si="13"/>
        <v>#DIV/0!</v>
      </c>
      <c r="AD13" s="134">
        <v>0</v>
      </c>
      <c r="AE13" s="141">
        <f t="shared" si="14"/>
        <v>0</v>
      </c>
      <c r="AF13" s="156">
        <f t="shared" si="15"/>
        <v>0</v>
      </c>
      <c r="AG13" s="119">
        <v>0.13</v>
      </c>
      <c r="AH13" s="134">
        <v>5000</v>
      </c>
      <c r="AI13" s="134">
        <v>30000</v>
      </c>
      <c r="AJ13" s="142">
        <f t="shared" si="16"/>
        <v>0</v>
      </c>
      <c r="AK13" s="119">
        <v>0</v>
      </c>
      <c r="AL13" s="119">
        <v>0</v>
      </c>
      <c r="AM13" s="120">
        <v>10000</v>
      </c>
      <c r="AN13" s="121">
        <v>10000</v>
      </c>
      <c r="AO13" s="121">
        <f t="shared" si="17"/>
        <v>0</v>
      </c>
      <c r="AP13" s="123">
        <v>0.5</v>
      </c>
      <c r="AQ13" s="123"/>
      <c r="AR13" s="121">
        <v>10000</v>
      </c>
      <c r="AS13" s="121">
        <v>3000</v>
      </c>
      <c r="AT13" s="121">
        <f t="shared" si="18"/>
        <v>0</v>
      </c>
      <c r="AU13" s="123">
        <v>0.15</v>
      </c>
      <c r="AV13" s="123">
        <v>0</v>
      </c>
      <c r="AW13" s="121">
        <v>50000</v>
      </c>
      <c r="AX13" s="121">
        <v>70000</v>
      </c>
      <c r="AY13" s="143" t="str">
        <f>IFERROR(IF((#REF!)&lt;AW13,0,IF((ROUNDUP(((#REF!)*AV13),-1))&gt;AX13,AX13,(ROUNDUP(((#REF!)*AV13),-1)))),"")</f>
        <v/>
      </c>
      <c r="AZ13" s="144">
        <v>0.5</v>
      </c>
    </row>
    <row r="14" spans="1:55" s="145" customFormat="1" x14ac:dyDescent="0.3">
      <c r="A14" s="131" t="s">
        <v>99</v>
      </c>
      <c r="B14" s="132" t="s">
        <v>146</v>
      </c>
      <c r="C14" s="132"/>
      <c r="D14" s="133"/>
      <c r="E14" s="134"/>
      <c r="F14" s="135"/>
      <c r="G14" s="136"/>
      <c r="H14" s="130" t="str">
        <f t="shared" si="0"/>
        <v>리스팅 노출행사가 : 0원 /한우협회13%중복쿠폰행사가: 0원/판매자 정산가: 0원//으로행사준비부탁드립니다 가격세팅은 10월 25일 직전까지 완료 해주시기 바랍니다..</v>
      </c>
      <c r="I14" s="104"/>
      <c r="J14" s="104"/>
      <c r="K14" s="103"/>
      <c r="L14" s="104">
        <f t="shared" si="19"/>
        <v>0</v>
      </c>
      <c r="M14" s="105" t="e">
        <f>#REF!-I14</f>
        <v>#REF!</v>
      </c>
      <c r="N14" s="103">
        <f t="shared" si="1"/>
        <v>0</v>
      </c>
      <c r="O14" s="103">
        <f t="shared" si="2"/>
        <v>0</v>
      </c>
      <c r="P14" s="103">
        <f t="shared" si="3"/>
        <v>0</v>
      </c>
      <c r="Q14" s="137">
        <f t="shared" si="4"/>
        <v>0</v>
      </c>
      <c r="R14" s="103">
        <f t="shared" si="5"/>
        <v>0</v>
      </c>
      <c r="S14" s="138">
        <v>0</v>
      </c>
      <c r="T14" s="138">
        <v>0.12</v>
      </c>
      <c r="U14" s="110">
        <v>0.12</v>
      </c>
      <c r="V14" s="139">
        <f t="shared" si="6"/>
        <v>0.12</v>
      </c>
      <c r="W14" s="103">
        <f t="shared" si="7"/>
        <v>0</v>
      </c>
      <c r="X14" s="103">
        <f t="shared" si="8"/>
        <v>0</v>
      </c>
      <c r="Y14" s="137">
        <f t="shared" si="9"/>
        <v>0</v>
      </c>
      <c r="Z14" s="103">
        <f t="shared" si="10"/>
        <v>0</v>
      </c>
      <c r="AA14" s="139" t="e">
        <f t="shared" si="11"/>
        <v>#DIV/0!</v>
      </c>
      <c r="AB14" s="103">
        <f t="shared" si="12"/>
        <v>0</v>
      </c>
      <c r="AC14" s="140" t="e">
        <f t="shared" si="13"/>
        <v>#DIV/0!</v>
      </c>
      <c r="AD14" s="134">
        <v>0</v>
      </c>
      <c r="AE14" s="141">
        <f t="shared" si="14"/>
        <v>0</v>
      </c>
      <c r="AF14" s="156">
        <f t="shared" si="15"/>
        <v>0</v>
      </c>
      <c r="AG14" s="119">
        <v>0.13</v>
      </c>
      <c r="AH14" s="134">
        <v>5000</v>
      </c>
      <c r="AI14" s="134">
        <v>30000</v>
      </c>
      <c r="AJ14" s="142">
        <f t="shared" si="16"/>
        <v>0</v>
      </c>
      <c r="AK14" s="119">
        <v>0</v>
      </c>
      <c r="AL14" s="119">
        <v>0</v>
      </c>
      <c r="AM14" s="120">
        <v>50000</v>
      </c>
      <c r="AN14" s="121">
        <v>50000</v>
      </c>
      <c r="AO14" s="121">
        <f t="shared" si="17"/>
        <v>0</v>
      </c>
      <c r="AP14" s="123">
        <v>0.5</v>
      </c>
      <c r="AQ14" s="123"/>
      <c r="AR14" s="121">
        <v>10000</v>
      </c>
      <c r="AS14" s="121">
        <v>3000</v>
      </c>
      <c r="AT14" s="121">
        <f t="shared" si="18"/>
        <v>0</v>
      </c>
      <c r="AU14" s="123">
        <v>0.15</v>
      </c>
      <c r="AV14" s="123">
        <v>0</v>
      </c>
      <c r="AW14" s="121">
        <v>50000</v>
      </c>
      <c r="AX14" s="121">
        <v>70000</v>
      </c>
      <c r="AY14" s="143" t="str">
        <f>IFERROR(IF((#REF!)&lt;AW14,0,IF((ROUNDUP(((#REF!)*AV14),-1))&gt;AX14,AX14,(ROUNDUP(((#REF!)*AV14),-1)))),"")</f>
        <v/>
      </c>
      <c r="AZ14" s="144">
        <v>0.5</v>
      </c>
    </row>
    <row r="15" spans="1:55" s="145" customFormat="1" x14ac:dyDescent="0.3">
      <c r="A15" s="131" t="s">
        <v>99</v>
      </c>
      <c r="B15" s="132" t="s">
        <v>146</v>
      </c>
      <c r="C15" s="132"/>
      <c r="D15" s="133"/>
      <c r="E15" s="134"/>
      <c r="F15" s="135"/>
      <c r="G15" s="136"/>
      <c r="H15" s="130" t="str">
        <f t="shared" si="0"/>
        <v>리스팅 노출행사가 : 0원 /한우협회13%중복쿠폰행사가: 0원/판매자 정산가: 0원//으로행사준비부탁드립니다 가격세팅은 10월 25일 직전까지 완료 해주시기 바랍니다..</v>
      </c>
      <c r="I15" s="104"/>
      <c r="J15" s="104"/>
      <c r="K15" s="103"/>
      <c r="L15" s="104">
        <f t="shared" si="19"/>
        <v>0</v>
      </c>
      <c r="M15" s="105" t="e">
        <f>#REF!-I15</f>
        <v>#REF!</v>
      </c>
      <c r="N15" s="103">
        <f t="shared" si="1"/>
        <v>0</v>
      </c>
      <c r="O15" s="103">
        <f t="shared" si="2"/>
        <v>0</v>
      </c>
      <c r="P15" s="103">
        <f t="shared" si="3"/>
        <v>0</v>
      </c>
      <c r="Q15" s="137">
        <f t="shared" si="4"/>
        <v>0</v>
      </c>
      <c r="R15" s="103">
        <f t="shared" si="5"/>
        <v>0</v>
      </c>
      <c r="S15" s="138">
        <v>0</v>
      </c>
      <c r="T15" s="138">
        <v>0.12</v>
      </c>
      <c r="U15" s="110">
        <v>0.12</v>
      </c>
      <c r="V15" s="139">
        <f t="shared" si="6"/>
        <v>0.12</v>
      </c>
      <c r="W15" s="103">
        <f t="shared" si="7"/>
        <v>0</v>
      </c>
      <c r="X15" s="103">
        <f t="shared" si="8"/>
        <v>0</v>
      </c>
      <c r="Y15" s="137">
        <f t="shared" si="9"/>
        <v>0</v>
      </c>
      <c r="Z15" s="103">
        <f t="shared" si="10"/>
        <v>0</v>
      </c>
      <c r="AA15" s="139" t="e">
        <f t="shared" si="11"/>
        <v>#DIV/0!</v>
      </c>
      <c r="AB15" s="103">
        <f t="shared" si="12"/>
        <v>0</v>
      </c>
      <c r="AC15" s="140" t="e">
        <f t="shared" si="13"/>
        <v>#DIV/0!</v>
      </c>
      <c r="AD15" s="134">
        <v>0</v>
      </c>
      <c r="AE15" s="141">
        <f t="shared" si="14"/>
        <v>0</v>
      </c>
      <c r="AF15" s="156">
        <f t="shared" si="15"/>
        <v>0</v>
      </c>
      <c r="AG15" s="119">
        <v>0.13</v>
      </c>
      <c r="AH15" s="134">
        <v>5000</v>
      </c>
      <c r="AI15" s="134">
        <v>30000</v>
      </c>
      <c r="AJ15" s="142">
        <f t="shared" si="16"/>
        <v>0</v>
      </c>
      <c r="AK15" s="119">
        <v>0</v>
      </c>
      <c r="AL15" s="119">
        <v>0</v>
      </c>
      <c r="AM15" s="120">
        <v>10000</v>
      </c>
      <c r="AN15" s="121">
        <v>10000</v>
      </c>
      <c r="AO15" s="121">
        <f t="shared" si="17"/>
        <v>0</v>
      </c>
      <c r="AP15" s="123">
        <v>0.5</v>
      </c>
      <c r="AQ15" s="123"/>
      <c r="AR15" s="121">
        <v>10000</v>
      </c>
      <c r="AS15" s="121">
        <v>3000</v>
      </c>
      <c r="AT15" s="121">
        <f t="shared" si="18"/>
        <v>0</v>
      </c>
      <c r="AU15" s="123">
        <v>0.15</v>
      </c>
      <c r="AV15" s="123">
        <v>0</v>
      </c>
      <c r="AW15" s="121">
        <v>50000</v>
      </c>
      <c r="AX15" s="121">
        <v>70000</v>
      </c>
      <c r="AY15" s="143" t="str">
        <f>IFERROR(IF((#REF!)&lt;AW15,0,IF((ROUNDUP(((#REF!)*AV15),-1))&gt;AX15,AX15,(ROUNDUP(((#REF!)*AV15),-1)))),"")</f>
        <v/>
      </c>
      <c r="AZ15" s="144">
        <v>0.5</v>
      </c>
    </row>
    <row r="16" spans="1:55" x14ac:dyDescent="0.3">
      <c r="A16" s="96" t="s">
        <v>99</v>
      </c>
      <c r="B16" s="132" t="s">
        <v>146</v>
      </c>
      <c r="C16" s="97"/>
      <c r="D16" s="98"/>
      <c r="E16" s="99"/>
      <c r="F16" s="100"/>
      <c r="G16" s="101"/>
      <c r="H16" s="130" t="str">
        <f t="shared" si="0"/>
        <v>리스팅 노출행사가 : 0원 /한우협회13%중복쿠폰행사가: 0원/판매자 정산가: 0원//으로행사준비부탁드립니다 가격세팅은 10월 25일 직전까지 완료 해주시기 바랍니다..</v>
      </c>
      <c r="I16" s="102"/>
      <c r="J16" s="102"/>
      <c r="K16" s="103"/>
      <c r="L16" s="104">
        <f t="shared" si="19"/>
        <v>0</v>
      </c>
      <c r="M16" s="105" t="e">
        <f>#REF!-I16</f>
        <v>#REF!</v>
      </c>
      <c r="N16" s="106">
        <f t="shared" si="1"/>
        <v>0</v>
      </c>
      <c r="O16" s="106">
        <f t="shared" si="2"/>
        <v>0</v>
      </c>
      <c r="P16" s="107">
        <f t="shared" si="3"/>
        <v>0</v>
      </c>
      <c r="Q16" s="108">
        <f t="shared" si="4"/>
        <v>0</v>
      </c>
      <c r="R16" s="107">
        <f t="shared" si="5"/>
        <v>0</v>
      </c>
      <c r="S16" s="109">
        <v>0</v>
      </c>
      <c r="T16" s="109">
        <v>0.12</v>
      </c>
      <c r="U16" s="110">
        <v>0.12</v>
      </c>
      <c r="V16" s="111">
        <f t="shared" si="6"/>
        <v>0.12</v>
      </c>
      <c r="W16" s="107">
        <f t="shared" si="7"/>
        <v>0</v>
      </c>
      <c r="X16" s="107">
        <f t="shared" si="8"/>
        <v>0</v>
      </c>
      <c r="Y16" s="112">
        <f t="shared" si="9"/>
        <v>0</v>
      </c>
      <c r="Z16" s="107">
        <f t="shared" si="10"/>
        <v>0</v>
      </c>
      <c r="AA16" s="111" t="e">
        <f t="shared" si="11"/>
        <v>#DIV/0!</v>
      </c>
      <c r="AB16" s="107">
        <f t="shared" si="12"/>
        <v>0</v>
      </c>
      <c r="AC16" s="113" t="e">
        <f t="shared" si="13"/>
        <v>#DIV/0!</v>
      </c>
      <c r="AD16" s="114">
        <v>0</v>
      </c>
      <c r="AE16" s="115">
        <f t="shared" si="14"/>
        <v>0</v>
      </c>
      <c r="AF16" s="156">
        <f t="shared" si="15"/>
        <v>0</v>
      </c>
      <c r="AG16" s="116">
        <v>0.13</v>
      </c>
      <c r="AH16" s="117">
        <v>5000</v>
      </c>
      <c r="AI16" s="117">
        <v>30000</v>
      </c>
      <c r="AJ16" s="118">
        <f t="shared" si="16"/>
        <v>0</v>
      </c>
      <c r="AK16" s="116">
        <v>0</v>
      </c>
      <c r="AL16" s="119">
        <v>0</v>
      </c>
      <c r="AM16" s="120">
        <v>50000</v>
      </c>
      <c r="AN16" s="121">
        <v>50000</v>
      </c>
      <c r="AO16" s="122">
        <f t="shared" si="17"/>
        <v>0</v>
      </c>
      <c r="AP16" s="123">
        <v>0.5</v>
      </c>
      <c r="AQ16" s="123"/>
      <c r="AR16" s="121">
        <v>10000</v>
      </c>
      <c r="AS16" s="121">
        <v>3000</v>
      </c>
      <c r="AT16" s="122">
        <f t="shared" si="18"/>
        <v>0</v>
      </c>
      <c r="AU16" s="123">
        <v>0.15</v>
      </c>
      <c r="AV16" s="124">
        <v>0</v>
      </c>
      <c r="AW16" s="125">
        <v>50000</v>
      </c>
      <c r="AX16" s="125">
        <v>70000</v>
      </c>
      <c r="AY16" s="126" t="str">
        <f>IFERROR(IF((#REF!)&lt;AW16,0,IF((ROUNDUP(((#REF!)*AV16),-1))&gt;AX16,AX16,(ROUNDUP(((#REF!)*AV16),-1)))),"")</f>
        <v/>
      </c>
      <c r="AZ16" s="127">
        <v>0.5</v>
      </c>
    </row>
    <row r="17" spans="1:52" x14ac:dyDescent="0.3">
      <c r="A17" s="96" t="s">
        <v>99</v>
      </c>
      <c r="B17" s="132" t="s">
        <v>146</v>
      </c>
      <c r="C17" s="97"/>
      <c r="D17" s="98"/>
      <c r="E17" s="99"/>
      <c r="F17" s="100"/>
      <c r="G17" s="101"/>
      <c r="H17" s="130" t="str">
        <f t="shared" si="0"/>
        <v>리스팅 노출행사가 : 0원 /한우협회13%중복쿠폰행사가: 0원/판매자 정산가: 0원//으로행사준비부탁드립니다 가격세팅은 10월 25일 직전까지 완료 해주시기 바랍니다..</v>
      </c>
      <c r="I17" s="102"/>
      <c r="J17" s="102"/>
      <c r="K17" s="103"/>
      <c r="L17" s="104">
        <f t="shared" si="19"/>
        <v>0</v>
      </c>
      <c r="M17" s="105" t="e">
        <f>#REF!-I17</f>
        <v>#REF!</v>
      </c>
      <c r="N17" s="106">
        <f t="shared" si="1"/>
        <v>0</v>
      </c>
      <c r="O17" s="106">
        <f t="shared" si="2"/>
        <v>0</v>
      </c>
      <c r="P17" s="107">
        <f t="shared" si="3"/>
        <v>0</v>
      </c>
      <c r="Q17" s="108">
        <f t="shared" si="4"/>
        <v>0</v>
      </c>
      <c r="R17" s="107">
        <f t="shared" si="5"/>
        <v>0</v>
      </c>
      <c r="S17" s="109">
        <v>0</v>
      </c>
      <c r="T17" s="109">
        <v>0.12</v>
      </c>
      <c r="U17" s="110">
        <v>0.12</v>
      </c>
      <c r="V17" s="111">
        <f t="shared" si="6"/>
        <v>0.12</v>
      </c>
      <c r="W17" s="107">
        <f t="shared" si="7"/>
        <v>0</v>
      </c>
      <c r="X17" s="107">
        <f t="shared" si="8"/>
        <v>0</v>
      </c>
      <c r="Y17" s="112">
        <f t="shared" si="9"/>
        <v>0</v>
      </c>
      <c r="Z17" s="107">
        <f t="shared" si="10"/>
        <v>0</v>
      </c>
      <c r="AA17" s="111" t="e">
        <f t="shared" si="11"/>
        <v>#DIV/0!</v>
      </c>
      <c r="AB17" s="107">
        <f t="shared" si="12"/>
        <v>0</v>
      </c>
      <c r="AC17" s="113" t="e">
        <f t="shared" si="13"/>
        <v>#DIV/0!</v>
      </c>
      <c r="AD17" s="114">
        <v>0</v>
      </c>
      <c r="AE17" s="115">
        <f t="shared" si="14"/>
        <v>0</v>
      </c>
      <c r="AF17" s="156">
        <f t="shared" si="15"/>
        <v>0</v>
      </c>
      <c r="AG17" s="116">
        <v>0.13</v>
      </c>
      <c r="AH17" s="117">
        <v>5000</v>
      </c>
      <c r="AI17" s="117">
        <v>30000</v>
      </c>
      <c r="AJ17" s="118">
        <f t="shared" si="16"/>
        <v>0</v>
      </c>
      <c r="AK17" s="116">
        <v>0</v>
      </c>
      <c r="AL17" s="119">
        <v>0</v>
      </c>
      <c r="AM17" s="120">
        <v>50000</v>
      </c>
      <c r="AN17" s="121">
        <v>50000</v>
      </c>
      <c r="AO17" s="122">
        <f t="shared" si="17"/>
        <v>0</v>
      </c>
      <c r="AP17" s="123">
        <v>0.5</v>
      </c>
      <c r="AQ17" s="123"/>
      <c r="AR17" s="121">
        <v>10000</v>
      </c>
      <c r="AS17" s="121">
        <v>3000</v>
      </c>
      <c r="AT17" s="122">
        <f t="shared" si="18"/>
        <v>0</v>
      </c>
      <c r="AU17" s="123">
        <v>0.15</v>
      </c>
      <c r="AV17" s="124">
        <v>0</v>
      </c>
      <c r="AW17" s="125">
        <v>50000</v>
      </c>
      <c r="AX17" s="125">
        <v>70000</v>
      </c>
      <c r="AY17" s="126" t="str">
        <f>IFERROR(IF((#REF!)&lt;AW17,0,IF((ROUNDUP(((#REF!)*AV17),-1))&gt;AX17,AX17,(ROUNDUP(((#REF!)*AV17),-1)))),"")</f>
        <v/>
      </c>
      <c r="AZ17" s="127">
        <v>0.5</v>
      </c>
    </row>
    <row r="18" spans="1:52" ht="10.5" customHeight="1" x14ac:dyDescent="0.3">
      <c r="A18" s="96" t="s">
        <v>99</v>
      </c>
      <c r="B18" s="132" t="s">
        <v>146</v>
      </c>
      <c r="C18" s="97"/>
      <c r="D18" s="98"/>
      <c r="E18" s="99"/>
      <c r="F18" s="100"/>
      <c r="G18" s="101"/>
      <c r="H18" s="130" t="str">
        <f t="shared" si="0"/>
        <v>리스팅 노출행사가 : 0원 /한우협회13%중복쿠폰행사가: 0원/판매자 정산가: 0원//으로행사준비부탁드립니다 가격세팅은 10월 25일 직전까지 완료 해주시기 바랍니다..</v>
      </c>
      <c r="I18" s="102"/>
      <c r="J18" s="102"/>
      <c r="K18" s="103"/>
      <c r="L18" s="104">
        <f t="shared" si="19"/>
        <v>0</v>
      </c>
      <c r="M18" s="105" t="e">
        <f>#REF!-I18</f>
        <v>#REF!</v>
      </c>
      <c r="N18" s="106">
        <f t="shared" si="1"/>
        <v>0</v>
      </c>
      <c r="O18" s="106">
        <f t="shared" si="2"/>
        <v>0</v>
      </c>
      <c r="P18" s="107">
        <f t="shared" si="3"/>
        <v>0</v>
      </c>
      <c r="Q18" s="108">
        <f t="shared" si="4"/>
        <v>0</v>
      </c>
      <c r="R18" s="107">
        <f t="shared" si="5"/>
        <v>0</v>
      </c>
      <c r="S18" s="109">
        <v>0</v>
      </c>
      <c r="T18" s="109">
        <v>0.12</v>
      </c>
      <c r="U18" s="110">
        <v>0.12</v>
      </c>
      <c r="V18" s="111">
        <f t="shared" si="6"/>
        <v>0.12</v>
      </c>
      <c r="W18" s="107">
        <f t="shared" si="7"/>
        <v>0</v>
      </c>
      <c r="X18" s="107">
        <f t="shared" si="8"/>
        <v>0</v>
      </c>
      <c r="Y18" s="112">
        <f t="shared" si="9"/>
        <v>0</v>
      </c>
      <c r="Z18" s="107">
        <f t="shared" si="10"/>
        <v>0</v>
      </c>
      <c r="AA18" s="111" t="e">
        <f t="shared" si="11"/>
        <v>#DIV/0!</v>
      </c>
      <c r="AB18" s="107">
        <f t="shared" si="12"/>
        <v>0</v>
      </c>
      <c r="AC18" s="113" t="e">
        <f t="shared" si="13"/>
        <v>#DIV/0!</v>
      </c>
      <c r="AD18" s="114">
        <v>0</v>
      </c>
      <c r="AE18" s="115">
        <f t="shared" si="14"/>
        <v>0</v>
      </c>
      <c r="AF18" s="156">
        <f t="shared" si="15"/>
        <v>0</v>
      </c>
      <c r="AG18" s="146">
        <v>0.13</v>
      </c>
      <c r="AH18" s="147">
        <v>5000</v>
      </c>
      <c r="AI18" s="147">
        <v>30000</v>
      </c>
      <c r="AJ18" s="118">
        <f t="shared" si="16"/>
        <v>0</v>
      </c>
      <c r="AK18" s="116">
        <v>0</v>
      </c>
      <c r="AL18" s="119">
        <v>0</v>
      </c>
      <c r="AM18" s="120">
        <v>10000</v>
      </c>
      <c r="AN18" s="121">
        <v>10000</v>
      </c>
      <c r="AO18" s="122">
        <f t="shared" si="17"/>
        <v>0</v>
      </c>
      <c r="AP18" s="123">
        <v>0.5</v>
      </c>
      <c r="AQ18" s="123"/>
      <c r="AR18" s="121">
        <v>10000</v>
      </c>
      <c r="AS18" s="121">
        <v>3000</v>
      </c>
      <c r="AT18" s="122">
        <f t="shared" si="18"/>
        <v>0</v>
      </c>
      <c r="AU18" s="123">
        <v>0.15</v>
      </c>
      <c r="AV18" s="124">
        <v>0</v>
      </c>
      <c r="AW18" s="125">
        <v>50000</v>
      </c>
      <c r="AX18" s="125">
        <v>70000</v>
      </c>
      <c r="AY18" s="126" t="str">
        <f>IFERROR(IF((#REF!)&lt;AW18,0,IF((ROUNDUP(((#REF!)*AV18),-1))&gt;AX18,AX18,(ROUNDUP(((#REF!)*AV18),-1)))),"")</f>
        <v/>
      </c>
      <c r="AZ18" s="127">
        <v>0.5</v>
      </c>
    </row>
    <row r="19" spans="1:52" x14ac:dyDescent="0.3">
      <c r="A19" s="96" t="s">
        <v>99</v>
      </c>
      <c r="B19" s="132" t="s">
        <v>146</v>
      </c>
      <c r="C19" s="97"/>
      <c r="D19" s="98"/>
      <c r="E19" s="99"/>
      <c r="F19" s="100"/>
      <c r="G19" s="101"/>
      <c r="H19" s="130" t="str">
        <f t="shared" si="0"/>
        <v>리스팅 노출행사가 : 0원 /한우협회13%중복쿠폰행사가: 0원/판매자 정산가: 0원//으로행사준비부탁드립니다 가격세팅은 10월 25일 직전까지 완료 해주시기 바랍니다..</v>
      </c>
      <c r="I19" s="102"/>
      <c r="J19" s="102"/>
      <c r="K19" s="103"/>
      <c r="L19" s="104">
        <f t="shared" si="19"/>
        <v>0</v>
      </c>
      <c r="M19" s="105" t="e">
        <f>#REF!-I19</f>
        <v>#REF!</v>
      </c>
      <c r="N19" s="106">
        <f t="shared" si="1"/>
        <v>0</v>
      </c>
      <c r="O19" s="106">
        <f t="shared" si="2"/>
        <v>0</v>
      </c>
      <c r="P19" s="107">
        <f t="shared" si="3"/>
        <v>0</v>
      </c>
      <c r="Q19" s="108">
        <f t="shared" si="4"/>
        <v>0</v>
      </c>
      <c r="R19" s="107">
        <f t="shared" si="5"/>
        <v>0</v>
      </c>
      <c r="S19" s="109">
        <v>0</v>
      </c>
      <c r="T19" s="109">
        <v>0.12</v>
      </c>
      <c r="U19" s="110">
        <v>0.12</v>
      </c>
      <c r="V19" s="111">
        <f t="shared" si="6"/>
        <v>0.12</v>
      </c>
      <c r="W19" s="107">
        <f t="shared" si="7"/>
        <v>0</v>
      </c>
      <c r="X19" s="107">
        <f t="shared" si="8"/>
        <v>0</v>
      </c>
      <c r="Y19" s="112">
        <f t="shared" si="9"/>
        <v>0</v>
      </c>
      <c r="Z19" s="107">
        <f t="shared" si="10"/>
        <v>0</v>
      </c>
      <c r="AA19" s="111" t="e">
        <f t="shared" si="11"/>
        <v>#DIV/0!</v>
      </c>
      <c r="AB19" s="107">
        <f t="shared" si="12"/>
        <v>0</v>
      </c>
      <c r="AC19" s="113" t="e">
        <f t="shared" si="13"/>
        <v>#DIV/0!</v>
      </c>
      <c r="AD19" s="114">
        <v>0</v>
      </c>
      <c r="AE19" s="115">
        <f t="shared" si="14"/>
        <v>0</v>
      </c>
      <c r="AF19" s="156">
        <f t="shared" si="15"/>
        <v>0</v>
      </c>
      <c r="AG19" s="116">
        <v>0.13</v>
      </c>
      <c r="AH19" s="117">
        <v>5000</v>
      </c>
      <c r="AI19" s="117">
        <v>30000</v>
      </c>
      <c r="AJ19" s="118">
        <f t="shared" si="16"/>
        <v>0</v>
      </c>
      <c r="AK19" s="116">
        <v>0</v>
      </c>
      <c r="AL19" s="119">
        <v>0</v>
      </c>
      <c r="AM19" s="120">
        <v>10000</v>
      </c>
      <c r="AN19" s="121">
        <v>10000</v>
      </c>
      <c r="AO19" s="122">
        <f t="shared" si="17"/>
        <v>0</v>
      </c>
      <c r="AP19" s="123">
        <v>0.5</v>
      </c>
      <c r="AQ19" s="123"/>
      <c r="AR19" s="121">
        <v>10000</v>
      </c>
      <c r="AS19" s="121">
        <v>3000</v>
      </c>
      <c r="AT19" s="122">
        <f t="shared" si="18"/>
        <v>0</v>
      </c>
      <c r="AU19" s="123">
        <v>0.15</v>
      </c>
      <c r="AV19" s="124">
        <v>0</v>
      </c>
      <c r="AW19" s="125">
        <v>50000</v>
      </c>
      <c r="AX19" s="125">
        <v>70000</v>
      </c>
      <c r="AY19" s="126" t="str">
        <f>IFERROR(IF((#REF!)&lt;AW19,0,IF((ROUNDUP(((#REF!)*AV19),-1))&gt;AX19,AX19,(ROUNDUP(((#REF!)*AV19),-1)))),"")</f>
        <v/>
      </c>
      <c r="AZ19" s="127">
        <v>0.5</v>
      </c>
    </row>
    <row r="20" spans="1:52" x14ac:dyDescent="0.3">
      <c r="A20" s="96" t="s">
        <v>99</v>
      </c>
      <c r="B20" s="132" t="s">
        <v>146</v>
      </c>
      <c r="C20" s="97"/>
      <c r="D20" s="98"/>
      <c r="E20" s="99"/>
      <c r="F20" s="100"/>
      <c r="G20" s="101"/>
      <c r="H20" s="130" t="str">
        <f t="shared" si="0"/>
        <v>리스팅 노출행사가 : 0원 /한우협회13%중복쿠폰행사가: 0원/판매자 정산가: 0원//으로행사준비부탁드립니다 가격세팅은 10월 25일 직전까지 완료 해주시기 바랍니다..</v>
      </c>
      <c r="I20" s="102"/>
      <c r="J20" s="102"/>
      <c r="K20" s="103"/>
      <c r="L20" s="104">
        <f t="shared" si="19"/>
        <v>0</v>
      </c>
      <c r="M20" s="105" t="e">
        <f>#REF!-I20</f>
        <v>#REF!</v>
      </c>
      <c r="N20" s="106">
        <f t="shared" si="1"/>
        <v>0</v>
      </c>
      <c r="O20" s="106">
        <f t="shared" si="2"/>
        <v>0</v>
      </c>
      <c r="P20" s="107">
        <f t="shared" si="3"/>
        <v>0</v>
      </c>
      <c r="Q20" s="108">
        <f t="shared" si="4"/>
        <v>0</v>
      </c>
      <c r="R20" s="107">
        <f t="shared" si="5"/>
        <v>0</v>
      </c>
      <c r="S20" s="109">
        <v>0</v>
      </c>
      <c r="T20" s="109">
        <v>0.12</v>
      </c>
      <c r="U20" s="110">
        <v>0.12</v>
      </c>
      <c r="V20" s="111">
        <f t="shared" si="6"/>
        <v>0.12</v>
      </c>
      <c r="W20" s="107">
        <f t="shared" si="7"/>
        <v>0</v>
      </c>
      <c r="X20" s="107">
        <f t="shared" si="8"/>
        <v>0</v>
      </c>
      <c r="Y20" s="112">
        <f t="shared" si="9"/>
        <v>0</v>
      </c>
      <c r="Z20" s="107">
        <f t="shared" si="10"/>
        <v>0</v>
      </c>
      <c r="AA20" s="111" t="e">
        <f t="shared" si="11"/>
        <v>#DIV/0!</v>
      </c>
      <c r="AB20" s="107">
        <f t="shared" si="12"/>
        <v>0</v>
      </c>
      <c r="AC20" s="113" t="e">
        <f t="shared" si="13"/>
        <v>#DIV/0!</v>
      </c>
      <c r="AD20" s="114">
        <v>0</v>
      </c>
      <c r="AE20" s="115">
        <f t="shared" si="14"/>
        <v>0</v>
      </c>
      <c r="AF20" s="156">
        <f t="shared" si="15"/>
        <v>0</v>
      </c>
      <c r="AG20" s="116">
        <v>0.13</v>
      </c>
      <c r="AH20" s="117">
        <v>5000</v>
      </c>
      <c r="AI20" s="117">
        <v>30000</v>
      </c>
      <c r="AJ20" s="118">
        <f t="shared" si="16"/>
        <v>0</v>
      </c>
      <c r="AK20" s="116">
        <v>0</v>
      </c>
      <c r="AL20" s="119">
        <v>0</v>
      </c>
      <c r="AM20" s="120">
        <v>10000</v>
      </c>
      <c r="AN20" s="121">
        <v>10000</v>
      </c>
      <c r="AO20" s="122">
        <f t="shared" si="17"/>
        <v>0</v>
      </c>
      <c r="AP20" s="123">
        <v>0.5</v>
      </c>
      <c r="AQ20" s="123"/>
      <c r="AR20" s="121">
        <v>10000</v>
      </c>
      <c r="AS20" s="121">
        <v>3000</v>
      </c>
      <c r="AT20" s="122">
        <f t="shared" si="18"/>
        <v>0</v>
      </c>
      <c r="AU20" s="123">
        <v>0.15</v>
      </c>
      <c r="AV20" s="124">
        <v>0</v>
      </c>
      <c r="AW20" s="125">
        <v>50000</v>
      </c>
      <c r="AX20" s="125">
        <v>70000</v>
      </c>
      <c r="AY20" s="126" t="str">
        <f>IFERROR(IF((#REF!)&lt;AW20,0,IF((ROUNDUP(((#REF!)*AV20),-1))&gt;AX20,AX20,(ROUNDUP(((#REF!)*AV20),-1)))),"")</f>
        <v/>
      </c>
      <c r="AZ20" s="127">
        <v>0.5</v>
      </c>
    </row>
  </sheetData>
  <phoneticPr fontId="2" type="noConversion"/>
  <conditionalFormatting sqref="B4:M20">
    <cfRule type="cellIs" dxfId="178" priority="3173" operator="equal">
      <formula>"올킬"</formula>
    </cfRule>
    <cfRule type="cellIs" dxfId="177" priority="3174" operator="equal">
      <formula>"슈퍼딜"</formula>
    </cfRule>
    <cfRule type="cellIs" dxfId="176" priority="3175" operator="equal">
      <formula>"올킬"</formula>
    </cfRule>
    <cfRule type="cellIs" dxfId="175" priority="3176" operator="equal">
      <formula>"슈퍼딜"</formula>
    </cfRule>
  </conditionalFormatting>
  <conditionalFormatting sqref="A4:A20">
    <cfRule type="cellIs" dxfId="174" priority="3171" operator="equal">
      <formula>"올킬"</formula>
    </cfRule>
    <cfRule type="cellIs" dxfId="173" priority="3172" operator="equal">
      <formula>"슈퍼딜"</formula>
    </cfRule>
  </conditionalFormatting>
  <conditionalFormatting sqref="B4:M20">
    <cfRule type="cellIs" dxfId="172" priority="3060" operator="equal">
      <formula>"양곡"</formula>
    </cfRule>
    <cfRule type="cellIs" dxfId="171" priority="3061" operator="equal">
      <formula>"김치반찬"</formula>
    </cfRule>
    <cfRule type="cellIs" dxfId="170" priority="3062" operator="equal">
      <formula>"양곡"</formula>
    </cfRule>
  </conditionalFormatting>
  <conditionalFormatting sqref="C16:M20">
    <cfRule type="cellIs" dxfId="169" priority="2861" operator="equal">
      <formula>"양곡"</formula>
    </cfRule>
    <cfRule type="cellIs" dxfId="168" priority="2862" operator="equal">
      <formula>"김치반찬"</formula>
    </cfRule>
    <cfRule type="cellIs" dxfId="167" priority="2863" operator="equal">
      <formula>"양곡"</formula>
    </cfRule>
  </conditionalFormatting>
  <conditionalFormatting sqref="C16:M20">
    <cfRule type="cellIs" dxfId="166" priority="2857" operator="equal">
      <formula>"올킬"</formula>
    </cfRule>
    <cfRule type="cellIs" dxfId="165" priority="2858" operator="equal">
      <formula>"슈퍼딜"</formula>
    </cfRule>
    <cfRule type="cellIs" dxfId="164" priority="2859" operator="equal">
      <formula>"올킬"</formula>
    </cfRule>
    <cfRule type="cellIs" dxfId="163" priority="2860" operator="equal">
      <formula>"슈퍼딜"</formula>
    </cfRule>
  </conditionalFormatting>
  <conditionalFormatting sqref="C16:M20">
    <cfRule type="cellIs" dxfId="162" priority="2854" operator="equal">
      <formula>"양곡"</formula>
    </cfRule>
    <cfRule type="cellIs" dxfId="161" priority="2855" operator="equal">
      <formula>"김치반찬"</formula>
    </cfRule>
    <cfRule type="cellIs" dxfId="160" priority="2856" operator="equal">
      <formula>"양곡"</formula>
    </cfRule>
  </conditionalFormatting>
  <conditionalFormatting sqref="C16:M20">
    <cfRule type="cellIs" dxfId="159" priority="2850" operator="equal">
      <formula>"올킬"</formula>
    </cfRule>
    <cfRule type="cellIs" dxfId="158" priority="2851" operator="equal">
      <formula>"슈퍼딜"</formula>
    </cfRule>
    <cfRule type="cellIs" dxfId="157" priority="2852" operator="equal">
      <formula>"올킬"</formula>
    </cfRule>
    <cfRule type="cellIs" dxfId="156" priority="2853" operator="equal">
      <formula>"슈퍼딜"</formula>
    </cfRule>
  </conditionalFormatting>
  <conditionalFormatting sqref="C16:M20">
    <cfRule type="cellIs" dxfId="155" priority="2847" operator="equal">
      <formula>"양곡"</formula>
    </cfRule>
    <cfRule type="cellIs" dxfId="154" priority="2848" operator="equal">
      <formula>"김치반찬"</formula>
    </cfRule>
    <cfRule type="cellIs" dxfId="153" priority="2849" operator="equal">
      <formula>"양곡"</formula>
    </cfRule>
  </conditionalFormatting>
  <conditionalFormatting sqref="C16:M20">
    <cfRule type="cellIs" dxfId="152" priority="2843" operator="equal">
      <formula>"올킬"</formula>
    </cfRule>
    <cfRule type="cellIs" dxfId="151" priority="2844" operator="equal">
      <formula>"슈퍼딜"</formula>
    </cfRule>
    <cfRule type="cellIs" dxfId="150" priority="2845" operator="equal">
      <formula>"올킬"</formula>
    </cfRule>
    <cfRule type="cellIs" dxfId="149" priority="2846" operator="equal">
      <formula>"슈퍼딜"</formula>
    </cfRule>
  </conditionalFormatting>
  <conditionalFormatting sqref="C16:M20">
    <cfRule type="cellIs" dxfId="148" priority="2840" operator="equal">
      <formula>"양곡"</formula>
    </cfRule>
    <cfRule type="cellIs" dxfId="147" priority="2841" operator="equal">
      <formula>"김치반찬"</formula>
    </cfRule>
    <cfRule type="cellIs" dxfId="146" priority="2842" operator="equal">
      <formula>"양곡"</formula>
    </cfRule>
  </conditionalFormatting>
  <conditionalFormatting sqref="C16:M20">
    <cfRule type="cellIs" dxfId="145" priority="2836" operator="equal">
      <formula>"올킬"</formula>
    </cfRule>
    <cfRule type="cellIs" dxfId="144" priority="2837" operator="equal">
      <formula>"슈퍼딜"</formula>
    </cfRule>
    <cfRule type="cellIs" dxfId="143" priority="2838" operator="equal">
      <formula>"올킬"</formula>
    </cfRule>
    <cfRule type="cellIs" dxfId="142" priority="2839" operator="equal">
      <formula>"슈퍼딜"</formula>
    </cfRule>
  </conditionalFormatting>
  <conditionalFormatting sqref="C16:M20">
    <cfRule type="cellIs" dxfId="141" priority="2777" operator="equal">
      <formula>"양곡"</formula>
    </cfRule>
    <cfRule type="cellIs" dxfId="140" priority="2778" operator="equal">
      <formula>"김치반찬"</formula>
    </cfRule>
    <cfRule type="cellIs" dxfId="139" priority="2779" operator="equal">
      <formula>"양곡"</formula>
    </cfRule>
  </conditionalFormatting>
  <conditionalFormatting sqref="C16:M20">
    <cfRule type="cellIs" dxfId="138" priority="2773" operator="equal">
      <formula>"올킬"</formula>
    </cfRule>
    <cfRule type="cellIs" dxfId="137" priority="2774" operator="equal">
      <formula>"슈퍼딜"</formula>
    </cfRule>
    <cfRule type="cellIs" dxfId="136" priority="2775" operator="equal">
      <formula>"올킬"</formula>
    </cfRule>
    <cfRule type="cellIs" dxfId="135" priority="2776" operator="equal">
      <formula>"슈퍼딜"</formula>
    </cfRule>
  </conditionalFormatting>
  <conditionalFormatting sqref="C16:M20">
    <cfRule type="cellIs" dxfId="134" priority="2770" operator="equal">
      <formula>"양곡"</formula>
    </cfRule>
    <cfRule type="cellIs" dxfId="133" priority="2771" operator="equal">
      <formula>"김치반찬"</formula>
    </cfRule>
    <cfRule type="cellIs" dxfId="132" priority="2772" operator="equal">
      <formula>"양곡"</formula>
    </cfRule>
  </conditionalFormatting>
  <conditionalFormatting sqref="C16:M20">
    <cfRule type="cellIs" dxfId="131" priority="2766" operator="equal">
      <formula>"올킬"</formula>
    </cfRule>
    <cfRule type="cellIs" dxfId="130" priority="2767" operator="equal">
      <formula>"슈퍼딜"</formula>
    </cfRule>
    <cfRule type="cellIs" dxfId="129" priority="2768" operator="equal">
      <formula>"올킬"</formula>
    </cfRule>
    <cfRule type="cellIs" dxfId="128" priority="2769" operator="equal">
      <formula>"슈퍼딜"</formula>
    </cfRule>
  </conditionalFormatting>
  <conditionalFormatting sqref="C16:M20">
    <cfRule type="cellIs" dxfId="127" priority="2763" operator="equal">
      <formula>"양곡"</formula>
    </cfRule>
    <cfRule type="cellIs" dxfId="126" priority="2764" operator="equal">
      <formula>"김치반찬"</formula>
    </cfRule>
    <cfRule type="cellIs" dxfId="125" priority="2765" operator="equal">
      <formula>"양곡"</formula>
    </cfRule>
  </conditionalFormatting>
  <conditionalFormatting sqref="C16:M20">
    <cfRule type="cellIs" dxfId="124" priority="2759" operator="equal">
      <formula>"올킬"</formula>
    </cfRule>
    <cfRule type="cellIs" dxfId="123" priority="2760" operator="equal">
      <formula>"슈퍼딜"</formula>
    </cfRule>
    <cfRule type="cellIs" dxfId="122" priority="2761" operator="equal">
      <formula>"올킬"</formula>
    </cfRule>
    <cfRule type="cellIs" dxfId="121" priority="2762" operator="equal">
      <formula>"슈퍼딜"</formula>
    </cfRule>
  </conditionalFormatting>
  <conditionalFormatting sqref="C16:M20">
    <cfRule type="cellIs" dxfId="120" priority="2756" operator="equal">
      <formula>"양곡"</formula>
    </cfRule>
    <cfRule type="cellIs" dxfId="119" priority="2757" operator="equal">
      <formula>"김치반찬"</formula>
    </cfRule>
    <cfRule type="cellIs" dxfId="118" priority="2758" operator="equal">
      <formula>"양곡"</formula>
    </cfRule>
  </conditionalFormatting>
  <conditionalFormatting sqref="C16:M20">
    <cfRule type="cellIs" dxfId="117" priority="2752" operator="equal">
      <formula>"올킬"</formula>
    </cfRule>
    <cfRule type="cellIs" dxfId="116" priority="2753" operator="equal">
      <formula>"슈퍼딜"</formula>
    </cfRule>
    <cfRule type="cellIs" dxfId="115" priority="2754" operator="equal">
      <formula>"올킬"</formula>
    </cfRule>
    <cfRule type="cellIs" dxfId="114" priority="2755" operator="equal">
      <formula>"슈퍼딜"</formula>
    </cfRule>
  </conditionalFormatting>
  <conditionalFormatting sqref="C16:M20">
    <cfRule type="cellIs" dxfId="113" priority="2721" operator="equal">
      <formula>"양곡"</formula>
    </cfRule>
    <cfRule type="cellIs" dxfId="112" priority="2722" operator="equal">
      <formula>"김치반찬"</formula>
    </cfRule>
    <cfRule type="cellIs" dxfId="111" priority="2723" operator="equal">
      <formula>"양곡"</formula>
    </cfRule>
  </conditionalFormatting>
  <conditionalFormatting sqref="C16:M20">
    <cfRule type="cellIs" dxfId="110" priority="2717" operator="equal">
      <formula>"올킬"</formula>
    </cfRule>
    <cfRule type="cellIs" dxfId="109" priority="2718" operator="equal">
      <formula>"슈퍼딜"</formula>
    </cfRule>
    <cfRule type="cellIs" dxfId="108" priority="2719" operator="equal">
      <formula>"올킬"</formula>
    </cfRule>
    <cfRule type="cellIs" dxfId="107" priority="2720" operator="equal">
      <formula>"슈퍼딜"</formula>
    </cfRule>
  </conditionalFormatting>
  <conditionalFormatting sqref="C16:M20">
    <cfRule type="cellIs" dxfId="106" priority="2714" operator="equal">
      <formula>"양곡"</formula>
    </cfRule>
    <cfRule type="cellIs" dxfId="105" priority="2715" operator="equal">
      <formula>"김치반찬"</formula>
    </cfRule>
    <cfRule type="cellIs" dxfId="104" priority="2716" operator="equal">
      <formula>"양곡"</formula>
    </cfRule>
  </conditionalFormatting>
  <conditionalFormatting sqref="C16:M20">
    <cfRule type="cellIs" dxfId="103" priority="2710" operator="equal">
      <formula>"올킬"</formula>
    </cfRule>
    <cfRule type="cellIs" dxfId="102" priority="2711" operator="equal">
      <formula>"슈퍼딜"</formula>
    </cfRule>
    <cfRule type="cellIs" dxfId="101" priority="2712" operator="equal">
      <formula>"올킬"</formula>
    </cfRule>
    <cfRule type="cellIs" dxfId="100" priority="2713" operator="equal">
      <formula>"슈퍼딜"</formula>
    </cfRule>
  </conditionalFormatting>
  <conditionalFormatting sqref="C16:M20">
    <cfRule type="cellIs" dxfId="99" priority="2707" operator="equal">
      <formula>"양곡"</formula>
    </cfRule>
    <cfRule type="cellIs" dxfId="98" priority="2708" operator="equal">
      <formula>"김치반찬"</formula>
    </cfRule>
    <cfRule type="cellIs" dxfId="97" priority="2709" operator="equal">
      <formula>"양곡"</formula>
    </cfRule>
  </conditionalFormatting>
  <conditionalFormatting sqref="C16:M20">
    <cfRule type="cellIs" dxfId="96" priority="2703" operator="equal">
      <formula>"올킬"</formula>
    </cfRule>
    <cfRule type="cellIs" dxfId="95" priority="2704" operator="equal">
      <formula>"슈퍼딜"</formula>
    </cfRule>
    <cfRule type="cellIs" dxfId="94" priority="2705" operator="equal">
      <formula>"올킬"</formula>
    </cfRule>
    <cfRule type="cellIs" dxfId="93" priority="2706" operator="equal">
      <formula>"슈퍼딜"</formula>
    </cfRule>
  </conditionalFormatting>
  <conditionalFormatting sqref="C16:M20">
    <cfRule type="cellIs" dxfId="92" priority="2700" operator="equal">
      <formula>"양곡"</formula>
    </cfRule>
    <cfRule type="cellIs" dxfId="91" priority="2701" operator="equal">
      <formula>"김치반찬"</formula>
    </cfRule>
    <cfRule type="cellIs" dxfId="90" priority="2702" operator="equal">
      <formula>"양곡"</formula>
    </cfRule>
  </conditionalFormatting>
  <conditionalFormatting sqref="C16:M20">
    <cfRule type="cellIs" dxfId="89" priority="2696" operator="equal">
      <formula>"올킬"</formula>
    </cfRule>
    <cfRule type="cellIs" dxfId="88" priority="2697" operator="equal">
      <formula>"슈퍼딜"</formula>
    </cfRule>
    <cfRule type="cellIs" dxfId="87" priority="2698" operator="equal">
      <formula>"올킬"</formula>
    </cfRule>
    <cfRule type="cellIs" dxfId="86" priority="2699" operator="equal">
      <formula>"슈퍼딜"</formula>
    </cfRule>
  </conditionalFormatting>
  <conditionalFormatting sqref="C16:M20">
    <cfRule type="cellIs" dxfId="85" priority="2637" operator="equal">
      <formula>"양곡"</formula>
    </cfRule>
    <cfRule type="cellIs" dxfId="84" priority="2638" operator="equal">
      <formula>"김치반찬"</formula>
    </cfRule>
    <cfRule type="cellIs" dxfId="83" priority="2639" operator="equal">
      <formula>"양곡"</formula>
    </cfRule>
  </conditionalFormatting>
  <conditionalFormatting sqref="C16:M20">
    <cfRule type="cellIs" dxfId="82" priority="2633" operator="equal">
      <formula>"올킬"</formula>
    </cfRule>
    <cfRule type="cellIs" dxfId="81" priority="2634" operator="equal">
      <formula>"슈퍼딜"</formula>
    </cfRule>
    <cfRule type="cellIs" dxfId="80" priority="2635" operator="equal">
      <formula>"올킬"</formula>
    </cfRule>
    <cfRule type="cellIs" dxfId="79" priority="2636" operator="equal">
      <formula>"슈퍼딜"</formula>
    </cfRule>
  </conditionalFormatting>
  <conditionalFormatting sqref="C16:M20">
    <cfRule type="cellIs" dxfId="78" priority="2630" operator="equal">
      <formula>"양곡"</formula>
    </cfRule>
    <cfRule type="cellIs" dxfId="77" priority="2631" operator="equal">
      <formula>"김치반찬"</formula>
    </cfRule>
    <cfRule type="cellIs" dxfId="76" priority="2632" operator="equal">
      <formula>"양곡"</formula>
    </cfRule>
  </conditionalFormatting>
  <conditionalFormatting sqref="C16:M20">
    <cfRule type="cellIs" dxfId="75" priority="2626" operator="equal">
      <formula>"올킬"</formula>
    </cfRule>
    <cfRule type="cellIs" dxfId="74" priority="2627" operator="equal">
      <formula>"슈퍼딜"</formula>
    </cfRule>
    <cfRule type="cellIs" dxfId="73" priority="2628" operator="equal">
      <formula>"올킬"</formula>
    </cfRule>
    <cfRule type="cellIs" dxfId="72" priority="2629" operator="equal">
      <formula>"슈퍼딜"</formula>
    </cfRule>
  </conditionalFormatting>
  <conditionalFormatting sqref="C16:M20">
    <cfRule type="cellIs" dxfId="71" priority="2623" operator="equal">
      <formula>"양곡"</formula>
    </cfRule>
    <cfRule type="cellIs" dxfId="70" priority="2624" operator="equal">
      <formula>"김치반찬"</formula>
    </cfRule>
    <cfRule type="cellIs" dxfId="69" priority="2625" operator="equal">
      <formula>"양곡"</formula>
    </cfRule>
  </conditionalFormatting>
  <conditionalFormatting sqref="C16:M20">
    <cfRule type="cellIs" dxfId="68" priority="2619" operator="equal">
      <formula>"올킬"</formula>
    </cfRule>
    <cfRule type="cellIs" dxfId="67" priority="2620" operator="equal">
      <formula>"슈퍼딜"</formula>
    </cfRule>
    <cfRule type="cellIs" dxfId="66" priority="2621" operator="equal">
      <formula>"올킬"</formula>
    </cfRule>
    <cfRule type="cellIs" dxfId="65" priority="2622" operator="equal">
      <formula>"슈퍼딜"</formula>
    </cfRule>
  </conditionalFormatting>
  <conditionalFormatting sqref="C16:M20">
    <cfRule type="cellIs" dxfId="64" priority="2616" operator="equal">
      <formula>"양곡"</formula>
    </cfRule>
    <cfRule type="cellIs" dxfId="63" priority="2617" operator="equal">
      <formula>"김치반찬"</formula>
    </cfRule>
    <cfRule type="cellIs" dxfId="62" priority="2618" operator="equal">
      <formula>"양곡"</formula>
    </cfRule>
  </conditionalFormatting>
  <conditionalFormatting sqref="C16:M20">
    <cfRule type="cellIs" dxfId="61" priority="2612" operator="equal">
      <formula>"올킬"</formula>
    </cfRule>
    <cfRule type="cellIs" dxfId="60" priority="2613" operator="equal">
      <formula>"슈퍼딜"</formula>
    </cfRule>
    <cfRule type="cellIs" dxfId="59" priority="2614" operator="equal">
      <formula>"올킬"</formula>
    </cfRule>
    <cfRule type="cellIs" dxfId="58" priority="2615" operator="equal">
      <formula>"슈퍼딜"</formula>
    </cfRule>
  </conditionalFormatting>
  <conditionalFormatting sqref="C16:L20">
    <cfRule type="cellIs" dxfId="57" priority="2521" operator="equal">
      <formula>"양곡"</formula>
    </cfRule>
    <cfRule type="cellIs" dxfId="56" priority="2522" operator="equal">
      <formula>"김치반찬"</formula>
    </cfRule>
    <cfRule type="cellIs" dxfId="55" priority="2523" operator="equal">
      <formula>"양곡"</formula>
    </cfRule>
  </conditionalFormatting>
  <conditionalFormatting sqref="C16:L20">
    <cfRule type="cellIs" dxfId="54" priority="2517" operator="equal">
      <formula>"올킬"</formula>
    </cfRule>
    <cfRule type="cellIs" dxfId="53" priority="2518" operator="equal">
      <formula>"슈퍼딜"</formula>
    </cfRule>
    <cfRule type="cellIs" dxfId="52" priority="2519" operator="equal">
      <formula>"올킬"</formula>
    </cfRule>
    <cfRule type="cellIs" dxfId="51" priority="2520" operator="equal">
      <formula>"슈퍼딜"</formula>
    </cfRule>
  </conditionalFormatting>
  <conditionalFormatting sqref="C16:L20">
    <cfRule type="cellIs" dxfId="50" priority="2514" operator="equal">
      <formula>"양곡"</formula>
    </cfRule>
    <cfRule type="cellIs" dxfId="49" priority="2515" operator="equal">
      <formula>"김치반찬"</formula>
    </cfRule>
    <cfRule type="cellIs" dxfId="48" priority="2516" operator="equal">
      <formula>"양곡"</formula>
    </cfRule>
  </conditionalFormatting>
  <conditionalFormatting sqref="C16:L20">
    <cfRule type="cellIs" dxfId="47" priority="2510" operator="equal">
      <formula>"올킬"</formula>
    </cfRule>
    <cfRule type="cellIs" dxfId="46" priority="2511" operator="equal">
      <formula>"슈퍼딜"</formula>
    </cfRule>
    <cfRule type="cellIs" dxfId="45" priority="2512" operator="equal">
      <formula>"올킬"</formula>
    </cfRule>
    <cfRule type="cellIs" dxfId="44" priority="2513" operator="equal">
      <formula>"슈퍼딜"</formula>
    </cfRule>
  </conditionalFormatting>
  <conditionalFormatting sqref="C16:L20">
    <cfRule type="cellIs" dxfId="43" priority="2507" operator="equal">
      <formula>"양곡"</formula>
    </cfRule>
    <cfRule type="cellIs" dxfId="42" priority="2508" operator="equal">
      <formula>"김치반찬"</formula>
    </cfRule>
    <cfRule type="cellIs" dxfId="41" priority="2509" operator="equal">
      <formula>"양곡"</formula>
    </cfRule>
  </conditionalFormatting>
  <conditionalFormatting sqref="C16:L20">
    <cfRule type="cellIs" dxfId="40" priority="2503" operator="equal">
      <formula>"올킬"</formula>
    </cfRule>
    <cfRule type="cellIs" dxfId="39" priority="2504" operator="equal">
      <formula>"슈퍼딜"</formula>
    </cfRule>
    <cfRule type="cellIs" dxfId="38" priority="2505" operator="equal">
      <formula>"올킬"</formula>
    </cfRule>
    <cfRule type="cellIs" dxfId="37" priority="2506" operator="equal">
      <formula>"슈퍼딜"</formula>
    </cfRule>
  </conditionalFormatting>
  <conditionalFormatting sqref="C16:L20">
    <cfRule type="cellIs" dxfId="36" priority="2500" operator="equal">
      <formula>"양곡"</formula>
    </cfRule>
    <cfRule type="cellIs" dxfId="35" priority="2501" operator="equal">
      <formula>"김치반찬"</formula>
    </cfRule>
    <cfRule type="cellIs" dxfId="34" priority="2502" operator="equal">
      <formula>"양곡"</formula>
    </cfRule>
  </conditionalFormatting>
  <conditionalFormatting sqref="C16:L20">
    <cfRule type="cellIs" dxfId="33" priority="2496" operator="equal">
      <formula>"올킬"</formula>
    </cfRule>
    <cfRule type="cellIs" dxfId="32" priority="2497" operator="equal">
      <formula>"슈퍼딜"</formula>
    </cfRule>
    <cfRule type="cellIs" dxfId="31" priority="2498" operator="equal">
      <formula>"올킬"</formula>
    </cfRule>
    <cfRule type="cellIs" dxfId="30" priority="2499" operator="equal">
      <formula>"슈퍼딜"</formula>
    </cfRule>
  </conditionalFormatting>
  <conditionalFormatting sqref="C16:L20">
    <cfRule type="cellIs" dxfId="29" priority="2465" operator="equal">
      <formula>"양곡"</formula>
    </cfRule>
    <cfRule type="cellIs" dxfId="28" priority="2466" operator="equal">
      <formula>"김치반찬"</formula>
    </cfRule>
    <cfRule type="cellIs" dxfId="27" priority="2467" operator="equal">
      <formula>"양곡"</formula>
    </cfRule>
  </conditionalFormatting>
  <conditionalFormatting sqref="C16:L20">
    <cfRule type="cellIs" dxfId="26" priority="2461" operator="equal">
      <formula>"올킬"</formula>
    </cfRule>
    <cfRule type="cellIs" dxfId="25" priority="2462" operator="equal">
      <formula>"슈퍼딜"</formula>
    </cfRule>
    <cfRule type="cellIs" dxfId="24" priority="2463" operator="equal">
      <formula>"올킬"</formula>
    </cfRule>
    <cfRule type="cellIs" dxfId="23" priority="2464" operator="equal">
      <formula>"슈퍼딜"</formula>
    </cfRule>
  </conditionalFormatting>
  <conditionalFormatting sqref="C16:L20">
    <cfRule type="cellIs" dxfId="22" priority="2458" operator="equal">
      <formula>"양곡"</formula>
    </cfRule>
    <cfRule type="cellIs" dxfId="21" priority="2459" operator="equal">
      <formula>"김치반찬"</formula>
    </cfRule>
    <cfRule type="cellIs" dxfId="20" priority="2460" operator="equal">
      <formula>"양곡"</formula>
    </cfRule>
  </conditionalFormatting>
  <conditionalFormatting sqref="C16:L20">
    <cfRule type="cellIs" dxfId="19" priority="2454" operator="equal">
      <formula>"올킬"</formula>
    </cfRule>
    <cfRule type="cellIs" dxfId="18" priority="2455" operator="equal">
      <formula>"슈퍼딜"</formula>
    </cfRule>
    <cfRule type="cellIs" dxfId="17" priority="2456" operator="equal">
      <formula>"올킬"</formula>
    </cfRule>
    <cfRule type="cellIs" dxfId="16" priority="2457" operator="equal">
      <formula>"슈퍼딜"</formula>
    </cfRule>
  </conditionalFormatting>
  <conditionalFormatting sqref="C16:L20">
    <cfRule type="cellIs" dxfId="15" priority="2451" operator="equal">
      <formula>"양곡"</formula>
    </cfRule>
    <cfRule type="cellIs" dxfId="14" priority="2452" operator="equal">
      <formula>"김치반찬"</formula>
    </cfRule>
    <cfRule type="cellIs" dxfId="13" priority="2453" operator="equal">
      <formula>"양곡"</formula>
    </cfRule>
  </conditionalFormatting>
  <conditionalFormatting sqref="C16:L20">
    <cfRule type="cellIs" dxfId="12" priority="2447" operator="equal">
      <formula>"올킬"</formula>
    </cfRule>
    <cfRule type="cellIs" dxfId="11" priority="2448" operator="equal">
      <formula>"슈퍼딜"</formula>
    </cfRule>
    <cfRule type="cellIs" dxfId="10" priority="2449" operator="equal">
      <formula>"올킬"</formula>
    </cfRule>
    <cfRule type="cellIs" dxfId="9" priority="2450" operator="equal">
      <formula>"슈퍼딜"</formula>
    </cfRule>
  </conditionalFormatting>
  <conditionalFormatting sqref="C16:L20">
    <cfRule type="cellIs" dxfId="8" priority="2444" operator="equal">
      <formula>"양곡"</formula>
    </cfRule>
    <cfRule type="cellIs" dxfId="7" priority="2445" operator="equal">
      <formula>"김치반찬"</formula>
    </cfRule>
    <cfRule type="cellIs" dxfId="6" priority="2446" operator="equal">
      <formula>"양곡"</formula>
    </cfRule>
  </conditionalFormatting>
  <conditionalFormatting sqref="C16:L20">
    <cfRule type="cellIs" dxfId="5" priority="2440" operator="equal">
      <formula>"올킬"</formula>
    </cfRule>
    <cfRule type="cellIs" dxfId="4" priority="2441" operator="equal">
      <formula>"슈퍼딜"</formula>
    </cfRule>
    <cfRule type="cellIs" dxfId="3" priority="2442" operator="equal">
      <formula>"올킬"</formula>
    </cfRule>
    <cfRule type="cellIs" dxfId="2" priority="2443" operator="equal">
      <formula>"슈퍼딜"</formula>
    </cfRule>
  </conditionalFormatting>
  <conditionalFormatting sqref="A1:A1048576">
    <cfRule type="containsText" dxfId="1" priority="2381" operator="containsText" text="마켓">
      <formula>NOT(ISERROR(SEARCH("마켓",A1)))</formula>
    </cfRule>
  </conditionalFormatting>
  <conditionalFormatting sqref="A1:A1048576">
    <cfRule type="containsText" dxfId="0" priority="2380" operator="containsText" text="옥션">
      <formula>NOT(ISERROR(SEARCH("옥션",A1)))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1E2D51-9687-4315-AA2A-A0B61F6DAEB2}">
  <dimension ref="A1"/>
  <sheetViews>
    <sheetView workbookViewId="0">
      <selection activeCell="G12" sqref="G12"/>
    </sheetView>
  </sheetViews>
  <sheetFormatPr defaultRowHeight="16.5" x14ac:dyDescent="0.3"/>
  <sheetData/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99263E-384D-44E4-99C2-E65F718AADA4}">
  <sheetPr codeName="Sheet2"/>
  <dimension ref="B1:O32"/>
  <sheetViews>
    <sheetView workbookViewId="0">
      <selection activeCell="N6" sqref="N6"/>
    </sheetView>
  </sheetViews>
  <sheetFormatPr defaultRowHeight="16.5" x14ac:dyDescent="0.3"/>
  <cols>
    <col min="2" max="2" width="29.5" customWidth="1"/>
    <col min="3" max="3" width="16.5" bestFit="1" customWidth="1"/>
    <col min="4" max="4" width="11" customWidth="1"/>
    <col min="5" max="6" width="30.375" bestFit="1" customWidth="1"/>
    <col min="7" max="9" width="11" customWidth="1"/>
    <col min="10" max="10" width="16.5" bestFit="1" customWidth="1"/>
    <col min="11" max="11" width="11.625" bestFit="1" customWidth="1"/>
    <col min="12" max="14" width="11.625" customWidth="1"/>
    <col min="15" max="15" width="11.625" bestFit="1" customWidth="1"/>
    <col min="16" max="17" width="9.5" customWidth="1"/>
    <col min="18" max="18" width="9.5" bestFit="1" customWidth="1"/>
    <col min="19" max="19" width="7.125" bestFit="1" customWidth="1"/>
    <col min="20" max="20" width="11.125" bestFit="1" customWidth="1"/>
    <col min="21" max="21" width="13" bestFit="1" customWidth="1"/>
    <col min="22" max="22" width="14.5" customWidth="1"/>
  </cols>
  <sheetData>
    <row r="1" spans="2:15" x14ac:dyDescent="0.3">
      <c r="C1" t="s">
        <v>6</v>
      </c>
      <c r="D1" t="s">
        <v>1</v>
      </c>
      <c r="E1" t="s">
        <v>2</v>
      </c>
      <c r="F1" t="s">
        <v>95</v>
      </c>
      <c r="G1" t="s">
        <v>4</v>
      </c>
      <c r="H1" t="s">
        <v>3</v>
      </c>
      <c r="I1" t="s">
        <v>94</v>
      </c>
      <c r="J1" t="s">
        <v>40</v>
      </c>
    </row>
    <row r="2" spans="2:15" x14ac:dyDescent="0.3">
      <c r="B2" s="6" t="s">
        <v>5</v>
      </c>
      <c r="C2" s="1">
        <v>10000</v>
      </c>
      <c r="D2" s="1">
        <v>2000</v>
      </c>
      <c r="E2" s="11">
        <f>(C2/0.84)-10</f>
        <v>11894.761904761905</v>
      </c>
      <c r="F2" s="11">
        <f>ROUNDDOWN(E2,-1)</f>
        <v>11890</v>
      </c>
      <c r="G2" s="12">
        <v>0.13</v>
      </c>
      <c r="H2" s="11">
        <f>ROUNDDOWN(F2*G2,-1)</f>
        <v>1540</v>
      </c>
      <c r="I2" s="11"/>
      <c r="J2" s="11">
        <f t="shared" ref="J2:J17" si="0">ROUNDUP(F2-H2,-1)</f>
        <v>10350</v>
      </c>
      <c r="K2" s="2"/>
      <c r="L2" s="2" t="s">
        <v>67</v>
      </c>
      <c r="M2" t="s">
        <v>31</v>
      </c>
      <c r="N2" t="s">
        <v>26</v>
      </c>
      <c r="O2" t="s">
        <v>77</v>
      </c>
    </row>
    <row r="3" spans="2:15" x14ac:dyDescent="0.3">
      <c r="B3" t="s">
        <v>42</v>
      </c>
      <c r="C3" s="3">
        <v>9420</v>
      </c>
      <c r="D3" s="3">
        <v>1410</v>
      </c>
      <c r="E3" s="4">
        <f>(C3/(1-G3))-10</f>
        <v>10817.586206896553</v>
      </c>
      <c r="F3" s="40">
        <v>10700</v>
      </c>
      <c r="G3" s="5">
        <v>0.13</v>
      </c>
      <c r="H3" s="4">
        <f>ROUNDUP(F3*G3,-1)</f>
        <v>1400</v>
      </c>
      <c r="I3" s="4" t="str">
        <f>IF(D3&gt;H3,"Ok","NO")</f>
        <v>Ok</v>
      </c>
      <c r="J3" s="4">
        <f t="shared" si="0"/>
        <v>9300</v>
      </c>
      <c r="K3" t="str">
        <f>IF(C3&gt;J3,"Ok","NO")</f>
        <v>Ok</v>
      </c>
      <c r="L3" t="s">
        <v>63</v>
      </c>
      <c r="M3" t="s">
        <v>33</v>
      </c>
      <c r="N3" t="s">
        <v>27</v>
      </c>
      <c r="O3" t="s">
        <v>78</v>
      </c>
    </row>
    <row r="4" spans="2:15" x14ac:dyDescent="0.3">
      <c r="B4" t="s">
        <v>43</v>
      </c>
      <c r="C4" s="3">
        <v>10010</v>
      </c>
      <c r="D4" s="3">
        <v>1500</v>
      </c>
      <c r="E4" s="4">
        <f t="shared" ref="E4:E32" si="1">(C4/(1-G4))-10</f>
        <v>11495.747126436781</v>
      </c>
      <c r="F4" s="40">
        <f t="shared" ref="F4:F31" si="2">ROUNDDOWN(E4,-2)</f>
        <v>11400</v>
      </c>
      <c r="G4" s="5">
        <v>0.13</v>
      </c>
      <c r="H4" s="4">
        <f t="shared" ref="H4:H32" si="3">ROUNDUP(F4*G4,-1)</f>
        <v>1490</v>
      </c>
      <c r="I4" s="4" t="str">
        <f t="shared" ref="I4:I32" si="4">IF(D4&gt;H4,"Ok","NO")</f>
        <v>Ok</v>
      </c>
      <c r="J4" s="4">
        <f t="shared" si="0"/>
        <v>9910</v>
      </c>
      <c r="K4" t="str">
        <f t="shared" ref="K4:K32" si="5">IF(C4&gt;J4,"Ok","NO")</f>
        <v>Ok</v>
      </c>
      <c r="M4" t="s">
        <v>34</v>
      </c>
      <c r="N4" t="s">
        <v>28</v>
      </c>
      <c r="O4" t="s">
        <v>79</v>
      </c>
    </row>
    <row r="5" spans="2:15" x14ac:dyDescent="0.3">
      <c r="B5" t="s">
        <v>44</v>
      </c>
      <c r="C5" s="3">
        <v>10580</v>
      </c>
      <c r="D5" s="3">
        <v>1580</v>
      </c>
      <c r="E5" s="4">
        <f t="shared" si="1"/>
        <v>12150.919540229885</v>
      </c>
      <c r="F5" s="40">
        <v>12000</v>
      </c>
      <c r="G5" s="5">
        <v>0.13</v>
      </c>
      <c r="H5" s="4">
        <f t="shared" si="3"/>
        <v>1560</v>
      </c>
      <c r="I5" s="4" t="str">
        <f t="shared" si="4"/>
        <v>Ok</v>
      </c>
      <c r="J5" s="4">
        <f t="shared" si="0"/>
        <v>10440</v>
      </c>
      <c r="K5" t="str">
        <f t="shared" si="5"/>
        <v>Ok</v>
      </c>
      <c r="N5" t="s">
        <v>55</v>
      </c>
      <c r="O5" t="s">
        <v>74</v>
      </c>
    </row>
    <row r="6" spans="2:15" x14ac:dyDescent="0.3">
      <c r="B6" t="s">
        <v>56</v>
      </c>
      <c r="C6" s="3">
        <v>4580</v>
      </c>
      <c r="D6" s="3">
        <v>680</v>
      </c>
      <c r="E6" s="4">
        <f t="shared" si="1"/>
        <v>5254.3678160919544</v>
      </c>
      <c r="F6" s="40">
        <v>5150</v>
      </c>
      <c r="G6" s="5">
        <v>0.13</v>
      </c>
      <c r="H6" s="4">
        <f t="shared" si="3"/>
        <v>670</v>
      </c>
      <c r="I6" s="4" t="str">
        <f t="shared" si="4"/>
        <v>Ok</v>
      </c>
      <c r="J6" s="4">
        <f t="shared" si="0"/>
        <v>4480</v>
      </c>
      <c r="K6" t="str">
        <f t="shared" si="5"/>
        <v>Ok</v>
      </c>
      <c r="N6" t="s">
        <v>30</v>
      </c>
    </row>
    <row r="7" spans="2:15" x14ac:dyDescent="0.3">
      <c r="B7" t="s">
        <v>45</v>
      </c>
      <c r="C7" s="3">
        <v>2520</v>
      </c>
      <c r="D7" s="3">
        <v>370</v>
      </c>
      <c r="E7" s="4">
        <f t="shared" si="1"/>
        <v>2886.5517241379312</v>
      </c>
      <c r="F7" s="40">
        <v>2750</v>
      </c>
      <c r="G7" s="5">
        <v>0.13</v>
      </c>
      <c r="H7" s="4">
        <f t="shared" si="3"/>
        <v>360</v>
      </c>
      <c r="I7" s="4" t="str">
        <f t="shared" si="4"/>
        <v>Ok</v>
      </c>
      <c r="J7" s="4">
        <f t="shared" si="0"/>
        <v>2390</v>
      </c>
      <c r="K7" t="str">
        <f t="shared" si="5"/>
        <v>Ok</v>
      </c>
    </row>
    <row r="8" spans="2:15" x14ac:dyDescent="0.3">
      <c r="B8" t="s">
        <v>46</v>
      </c>
      <c r="C8" s="3">
        <v>8610</v>
      </c>
      <c r="D8" s="3">
        <v>1290</v>
      </c>
      <c r="E8" s="4">
        <f t="shared" si="1"/>
        <v>9886.5517241379312</v>
      </c>
      <c r="F8" s="40">
        <f t="shared" si="2"/>
        <v>9800</v>
      </c>
      <c r="G8" s="5">
        <v>0.13</v>
      </c>
      <c r="H8" s="4">
        <f t="shared" si="3"/>
        <v>1280</v>
      </c>
      <c r="I8" s="4" t="str">
        <f t="shared" si="4"/>
        <v>Ok</v>
      </c>
      <c r="J8" s="4">
        <f t="shared" si="0"/>
        <v>8520</v>
      </c>
      <c r="K8" t="str">
        <f t="shared" si="5"/>
        <v>Ok</v>
      </c>
    </row>
    <row r="9" spans="2:15" x14ac:dyDescent="0.3">
      <c r="B9" t="s">
        <v>47</v>
      </c>
      <c r="C9" s="3">
        <v>9260</v>
      </c>
      <c r="D9" s="3">
        <v>1380</v>
      </c>
      <c r="E9" s="4">
        <f t="shared" si="1"/>
        <v>10633.67816091954</v>
      </c>
      <c r="F9" s="40">
        <v>10500</v>
      </c>
      <c r="G9" s="5">
        <v>0.13</v>
      </c>
      <c r="H9" s="4">
        <f t="shared" si="3"/>
        <v>1370</v>
      </c>
      <c r="I9" s="4" t="str">
        <f t="shared" si="4"/>
        <v>Ok</v>
      </c>
      <c r="J9" s="4">
        <f t="shared" si="0"/>
        <v>9130</v>
      </c>
      <c r="K9" t="str">
        <f t="shared" si="5"/>
        <v>Ok</v>
      </c>
    </row>
    <row r="10" spans="2:15" x14ac:dyDescent="0.3">
      <c r="B10" t="s">
        <v>48</v>
      </c>
      <c r="C10" s="3">
        <v>9230</v>
      </c>
      <c r="D10" s="3">
        <v>1380</v>
      </c>
      <c r="E10" s="4">
        <f t="shared" si="1"/>
        <v>10599.19540229885</v>
      </c>
      <c r="F10" s="40">
        <f t="shared" si="2"/>
        <v>10500</v>
      </c>
      <c r="G10" s="5">
        <v>0.13</v>
      </c>
      <c r="H10" s="4">
        <f t="shared" si="3"/>
        <v>1370</v>
      </c>
      <c r="I10" s="4" t="str">
        <f t="shared" si="4"/>
        <v>Ok</v>
      </c>
      <c r="J10" s="4">
        <f t="shared" si="0"/>
        <v>9130</v>
      </c>
      <c r="K10" t="str">
        <f t="shared" si="5"/>
        <v>Ok</v>
      </c>
    </row>
    <row r="11" spans="2:15" x14ac:dyDescent="0.3">
      <c r="B11" t="s">
        <v>57</v>
      </c>
      <c r="C11" s="3">
        <v>3930</v>
      </c>
      <c r="D11" s="3">
        <v>580</v>
      </c>
      <c r="E11" s="4">
        <f t="shared" si="1"/>
        <v>4507.2413793103451</v>
      </c>
      <c r="F11" s="40">
        <v>4350</v>
      </c>
      <c r="G11" s="5">
        <v>0.13</v>
      </c>
      <c r="H11" s="4">
        <f t="shared" si="3"/>
        <v>570</v>
      </c>
      <c r="I11" s="4" t="str">
        <f t="shared" si="4"/>
        <v>Ok</v>
      </c>
      <c r="J11" s="4">
        <f t="shared" si="0"/>
        <v>3780</v>
      </c>
      <c r="K11" t="str">
        <f t="shared" si="5"/>
        <v>Ok</v>
      </c>
    </row>
    <row r="12" spans="2:15" x14ac:dyDescent="0.3">
      <c r="B12" t="s">
        <v>49</v>
      </c>
      <c r="C12" s="3">
        <v>2330</v>
      </c>
      <c r="D12" s="3">
        <v>340</v>
      </c>
      <c r="E12" s="4">
        <f t="shared" si="1"/>
        <v>2668.1609195402298</v>
      </c>
      <c r="F12" s="40">
        <v>2500</v>
      </c>
      <c r="G12" s="5">
        <v>0.13</v>
      </c>
      <c r="H12" s="4">
        <f t="shared" si="3"/>
        <v>330</v>
      </c>
      <c r="I12" s="4" t="str">
        <f t="shared" si="4"/>
        <v>Ok</v>
      </c>
      <c r="J12" s="4">
        <f t="shared" si="0"/>
        <v>2170</v>
      </c>
      <c r="K12" t="str">
        <f t="shared" si="5"/>
        <v>Ok</v>
      </c>
    </row>
    <row r="13" spans="2:15" x14ac:dyDescent="0.3">
      <c r="B13" t="s">
        <v>50</v>
      </c>
      <c r="C13" s="3">
        <v>6980</v>
      </c>
      <c r="D13" s="3">
        <v>1040</v>
      </c>
      <c r="E13" s="4">
        <f t="shared" si="1"/>
        <v>8012.9885057471265</v>
      </c>
      <c r="F13" s="40">
        <v>7900</v>
      </c>
      <c r="G13" s="5">
        <v>0.13</v>
      </c>
      <c r="H13" s="4">
        <f t="shared" si="3"/>
        <v>1030</v>
      </c>
      <c r="I13" s="4" t="str">
        <f t="shared" si="4"/>
        <v>Ok</v>
      </c>
      <c r="J13" s="4">
        <f t="shared" si="0"/>
        <v>6870</v>
      </c>
      <c r="K13" t="str">
        <f t="shared" si="5"/>
        <v>Ok</v>
      </c>
    </row>
    <row r="14" spans="2:15" x14ac:dyDescent="0.3">
      <c r="B14" t="s">
        <v>51</v>
      </c>
      <c r="C14" s="3">
        <v>8430</v>
      </c>
      <c r="D14" s="3">
        <v>1260</v>
      </c>
      <c r="E14" s="4">
        <f t="shared" si="1"/>
        <v>9679.6551724137935</v>
      </c>
      <c r="F14" s="40">
        <f t="shared" si="2"/>
        <v>9600</v>
      </c>
      <c r="G14" s="5">
        <v>0.13</v>
      </c>
      <c r="H14" s="4">
        <f t="shared" si="3"/>
        <v>1250</v>
      </c>
      <c r="I14" s="4" t="str">
        <f t="shared" si="4"/>
        <v>Ok</v>
      </c>
      <c r="J14" s="4">
        <f t="shared" si="0"/>
        <v>8350</v>
      </c>
      <c r="K14" t="str">
        <f t="shared" si="5"/>
        <v>Ok</v>
      </c>
    </row>
    <row r="15" spans="2:15" x14ac:dyDescent="0.3">
      <c r="B15" t="s">
        <v>52</v>
      </c>
      <c r="C15" s="3">
        <v>8450</v>
      </c>
      <c r="D15" s="3">
        <v>1260</v>
      </c>
      <c r="E15" s="4">
        <f t="shared" si="1"/>
        <v>9702.6436781609191</v>
      </c>
      <c r="F15" s="40">
        <v>9600</v>
      </c>
      <c r="G15" s="5">
        <v>0.13</v>
      </c>
      <c r="H15" s="4">
        <f t="shared" si="3"/>
        <v>1250</v>
      </c>
      <c r="I15" s="4" t="str">
        <f t="shared" si="4"/>
        <v>Ok</v>
      </c>
      <c r="J15" s="4">
        <f t="shared" si="0"/>
        <v>8350</v>
      </c>
      <c r="K15" t="str">
        <f t="shared" si="5"/>
        <v>Ok</v>
      </c>
    </row>
    <row r="16" spans="2:15" x14ac:dyDescent="0.3">
      <c r="B16" t="s">
        <v>58</v>
      </c>
      <c r="C16" s="3">
        <v>3540</v>
      </c>
      <c r="D16" s="3">
        <v>530</v>
      </c>
      <c r="E16" s="4">
        <f t="shared" si="1"/>
        <v>4058.9655172413795</v>
      </c>
      <c r="F16" s="40">
        <f t="shared" si="2"/>
        <v>4000</v>
      </c>
      <c r="G16" s="5">
        <v>0.13</v>
      </c>
      <c r="H16" s="4">
        <f t="shared" si="3"/>
        <v>520</v>
      </c>
      <c r="I16" s="4" t="str">
        <f t="shared" si="4"/>
        <v>Ok</v>
      </c>
      <c r="J16" s="4">
        <f t="shared" si="0"/>
        <v>3480</v>
      </c>
      <c r="K16" t="str">
        <f t="shared" si="5"/>
        <v>Ok</v>
      </c>
    </row>
    <row r="17" spans="2:11" x14ac:dyDescent="0.3">
      <c r="B17" t="s">
        <v>53</v>
      </c>
      <c r="C17" s="3">
        <v>2290</v>
      </c>
      <c r="D17" s="3">
        <v>340</v>
      </c>
      <c r="E17" s="4">
        <f t="shared" si="1"/>
        <v>2622.1839080459772</v>
      </c>
      <c r="F17" s="40">
        <v>2500</v>
      </c>
      <c r="G17" s="5">
        <v>0.13</v>
      </c>
      <c r="H17" s="4">
        <f t="shared" si="3"/>
        <v>330</v>
      </c>
      <c r="I17" s="4" t="str">
        <f t="shared" si="4"/>
        <v>Ok</v>
      </c>
      <c r="J17" s="4">
        <f t="shared" si="0"/>
        <v>2170</v>
      </c>
      <c r="K17" t="str">
        <f t="shared" si="5"/>
        <v>Ok</v>
      </c>
    </row>
    <row r="18" spans="2:11" x14ac:dyDescent="0.3">
      <c r="B18" t="s">
        <v>7</v>
      </c>
      <c r="C18" s="3">
        <v>9420</v>
      </c>
      <c r="D18" s="3">
        <v>1410</v>
      </c>
      <c r="E18" s="4">
        <f t="shared" si="1"/>
        <v>10817.586206896553</v>
      </c>
      <c r="F18" s="40">
        <v>10700</v>
      </c>
      <c r="G18" s="5">
        <v>0.13</v>
      </c>
      <c r="H18" s="4">
        <f t="shared" si="3"/>
        <v>1400</v>
      </c>
      <c r="I18" s="4" t="str">
        <f t="shared" si="4"/>
        <v>Ok</v>
      </c>
      <c r="J18" s="4">
        <f t="shared" ref="J18:J32" si="6">ROUNDUP(F18-H18,-1)</f>
        <v>9300</v>
      </c>
      <c r="K18" t="str">
        <f t="shared" si="5"/>
        <v>Ok</v>
      </c>
    </row>
    <row r="19" spans="2:11" x14ac:dyDescent="0.3">
      <c r="B19" t="s">
        <v>8</v>
      </c>
      <c r="C19" s="3">
        <v>10010</v>
      </c>
      <c r="D19" s="3">
        <v>1500</v>
      </c>
      <c r="E19" s="4">
        <f t="shared" si="1"/>
        <v>11495.747126436781</v>
      </c>
      <c r="F19" s="40">
        <f t="shared" si="2"/>
        <v>11400</v>
      </c>
      <c r="G19" s="5">
        <v>0.13</v>
      </c>
      <c r="H19" s="4">
        <f t="shared" si="3"/>
        <v>1490</v>
      </c>
      <c r="I19" s="4" t="str">
        <f t="shared" si="4"/>
        <v>Ok</v>
      </c>
      <c r="J19" s="4">
        <f t="shared" si="6"/>
        <v>9910</v>
      </c>
      <c r="K19" t="str">
        <f t="shared" si="5"/>
        <v>Ok</v>
      </c>
    </row>
    <row r="20" spans="2:11" x14ac:dyDescent="0.3">
      <c r="B20" t="s">
        <v>9</v>
      </c>
      <c r="C20" s="3">
        <v>10580</v>
      </c>
      <c r="D20" s="3">
        <v>1580</v>
      </c>
      <c r="E20" s="4">
        <f t="shared" si="1"/>
        <v>12150.919540229885</v>
      </c>
      <c r="F20" s="40">
        <v>12000</v>
      </c>
      <c r="G20" s="5">
        <v>0.13</v>
      </c>
      <c r="H20" s="4">
        <f t="shared" si="3"/>
        <v>1560</v>
      </c>
      <c r="I20" s="4" t="str">
        <f t="shared" si="4"/>
        <v>Ok</v>
      </c>
      <c r="J20" s="4">
        <f t="shared" si="6"/>
        <v>10440</v>
      </c>
      <c r="K20" t="str">
        <f t="shared" si="5"/>
        <v>Ok</v>
      </c>
    </row>
    <row r="21" spans="2:11" x14ac:dyDescent="0.3">
      <c r="B21" t="s">
        <v>59</v>
      </c>
      <c r="C21" s="3">
        <v>4580</v>
      </c>
      <c r="D21" s="3">
        <v>680</v>
      </c>
      <c r="E21" s="4">
        <f t="shared" si="1"/>
        <v>5254.3678160919544</v>
      </c>
      <c r="F21" s="40">
        <v>5150</v>
      </c>
      <c r="G21" s="5">
        <v>0.13</v>
      </c>
      <c r="H21" s="4">
        <f t="shared" si="3"/>
        <v>670</v>
      </c>
      <c r="I21" s="4" t="str">
        <f t="shared" si="4"/>
        <v>Ok</v>
      </c>
      <c r="J21" s="4">
        <f>ROUNDUP(F21-H21,-1)</f>
        <v>4480</v>
      </c>
      <c r="K21" t="str">
        <f t="shared" si="5"/>
        <v>Ok</v>
      </c>
    </row>
    <row r="22" spans="2:11" x14ac:dyDescent="0.3">
      <c r="B22" t="s">
        <v>10</v>
      </c>
      <c r="C22" s="3">
        <v>2520</v>
      </c>
      <c r="D22" s="3">
        <v>370</v>
      </c>
      <c r="E22" s="4">
        <f t="shared" si="1"/>
        <v>2886.5517241379312</v>
      </c>
      <c r="F22" s="40">
        <v>2750</v>
      </c>
      <c r="G22" s="5">
        <v>0.13</v>
      </c>
      <c r="H22" s="4">
        <f t="shared" si="3"/>
        <v>360</v>
      </c>
      <c r="I22" s="4" t="str">
        <f t="shared" si="4"/>
        <v>Ok</v>
      </c>
      <c r="J22" s="4">
        <f t="shared" si="6"/>
        <v>2390</v>
      </c>
      <c r="K22" t="str">
        <f t="shared" si="5"/>
        <v>Ok</v>
      </c>
    </row>
    <row r="23" spans="2:11" x14ac:dyDescent="0.3">
      <c r="B23" t="s">
        <v>11</v>
      </c>
      <c r="C23" s="3">
        <v>8610</v>
      </c>
      <c r="D23" s="3">
        <v>1290</v>
      </c>
      <c r="E23" s="4">
        <f t="shared" si="1"/>
        <v>9886.5517241379312</v>
      </c>
      <c r="F23" s="40">
        <f t="shared" si="2"/>
        <v>9800</v>
      </c>
      <c r="G23" s="5">
        <v>0.13</v>
      </c>
      <c r="H23" s="4">
        <f t="shared" si="3"/>
        <v>1280</v>
      </c>
      <c r="I23" s="4" t="str">
        <f t="shared" si="4"/>
        <v>Ok</v>
      </c>
      <c r="J23" s="4">
        <f t="shared" si="6"/>
        <v>8520</v>
      </c>
      <c r="K23" t="str">
        <f t="shared" si="5"/>
        <v>Ok</v>
      </c>
    </row>
    <row r="24" spans="2:11" x14ac:dyDescent="0.3">
      <c r="B24" t="s">
        <v>12</v>
      </c>
      <c r="C24" s="3">
        <v>9260</v>
      </c>
      <c r="D24" s="3">
        <v>1380</v>
      </c>
      <c r="E24" s="4">
        <f t="shared" si="1"/>
        <v>10633.67816091954</v>
      </c>
      <c r="F24" s="40">
        <v>10500</v>
      </c>
      <c r="G24" s="5">
        <v>0.13</v>
      </c>
      <c r="H24" s="4">
        <f t="shared" si="3"/>
        <v>1370</v>
      </c>
      <c r="I24" s="4" t="str">
        <f t="shared" si="4"/>
        <v>Ok</v>
      </c>
      <c r="J24" s="4">
        <f t="shared" si="6"/>
        <v>9130</v>
      </c>
      <c r="K24" t="str">
        <f t="shared" si="5"/>
        <v>Ok</v>
      </c>
    </row>
    <row r="25" spans="2:11" x14ac:dyDescent="0.3">
      <c r="B25" t="s">
        <v>13</v>
      </c>
      <c r="C25" s="3">
        <v>9230</v>
      </c>
      <c r="D25" s="3">
        <v>1380</v>
      </c>
      <c r="E25" s="4">
        <f t="shared" si="1"/>
        <v>10599.19540229885</v>
      </c>
      <c r="F25" s="40">
        <f t="shared" si="2"/>
        <v>10500</v>
      </c>
      <c r="G25" s="5">
        <v>0.13</v>
      </c>
      <c r="H25" s="4">
        <f t="shared" si="3"/>
        <v>1370</v>
      </c>
      <c r="I25" s="4" t="str">
        <f t="shared" si="4"/>
        <v>Ok</v>
      </c>
      <c r="J25" s="4">
        <f t="shared" si="6"/>
        <v>9130</v>
      </c>
      <c r="K25" t="str">
        <f t="shared" si="5"/>
        <v>Ok</v>
      </c>
    </row>
    <row r="26" spans="2:11" x14ac:dyDescent="0.3">
      <c r="B26" t="s">
        <v>60</v>
      </c>
      <c r="C26" s="3">
        <v>3930</v>
      </c>
      <c r="D26" s="3">
        <v>580</v>
      </c>
      <c r="E26" s="4">
        <f t="shared" si="1"/>
        <v>4507.2413793103451</v>
      </c>
      <c r="F26" s="40">
        <v>4350</v>
      </c>
      <c r="G26" s="5">
        <v>0.13</v>
      </c>
      <c r="H26" s="4">
        <f t="shared" si="3"/>
        <v>570</v>
      </c>
      <c r="I26" s="4" t="str">
        <f t="shared" si="4"/>
        <v>Ok</v>
      </c>
      <c r="J26" s="4">
        <f>ROUNDUP(F26-H26,-1)</f>
        <v>3780</v>
      </c>
      <c r="K26" t="str">
        <f t="shared" si="5"/>
        <v>Ok</v>
      </c>
    </row>
    <row r="27" spans="2:11" x14ac:dyDescent="0.3">
      <c r="B27" t="s">
        <v>14</v>
      </c>
      <c r="C27" s="3">
        <v>2330</v>
      </c>
      <c r="D27" s="3">
        <v>340</v>
      </c>
      <c r="E27" s="4">
        <f t="shared" si="1"/>
        <v>2668.1609195402298</v>
      </c>
      <c r="F27" s="40">
        <v>2500</v>
      </c>
      <c r="G27" s="5">
        <v>0.13</v>
      </c>
      <c r="H27" s="4">
        <f t="shared" si="3"/>
        <v>330</v>
      </c>
      <c r="I27" s="4" t="str">
        <f t="shared" si="4"/>
        <v>Ok</v>
      </c>
      <c r="J27" s="4">
        <f t="shared" si="6"/>
        <v>2170</v>
      </c>
      <c r="K27" t="str">
        <f t="shared" si="5"/>
        <v>Ok</v>
      </c>
    </row>
    <row r="28" spans="2:11" x14ac:dyDescent="0.3">
      <c r="B28" t="s">
        <v>15</v>
      </c>
      <c r="C28" s="3">
        <v>6980</v>
      </c>
      <c r="D28" s="3">
        <v>1040</v>
      </c>
      <c r="E28" s="4">
        <f t="shared" si="1"/>
        <v>8012.9885057471265</v>
      </c>
      <c r="F28" s="40">
        <v>7900</v>
      </c>
      <c r="G28" s="5">
        <v>0.13</v>
      </c>
      <c r="H28" s="4">
        <f t="shared" si="3"/>
        <v>1030</v>
      </c>
      <c r="I28" s="4" t="str">
        <f t="shared" si="4"/>
        <v>Ok</v>
      </c>
      <c r="J28" s="4">
        <f t="shared" si="6"/>
        <v>6870</v>
      </c>
      <c r="K28" t="str">
        <f t="shared" si="5"/>
        <v>Ok</v>
      </c>
    </row>
    <row r="29" spans="2:11" x14ac:dyDescent="0.3">
      <c r="B29" t="s">
        <v>16</v>
      </c>
      <c r="C29" s="3">
        <v>8430</v>
      </c>
      <c r="D29" s="3">
        <v>1260</v>
      </c>
      <c r="E29" s="4">
        <f t="shared" si="1"/>
        <v>9679.6551724137935</v>
      </c>
      <c r="F29" s="40">
        <f t="shared" si="2"/>
        <v>9600</v>
      </c>
      <c r="G29" s="5">
        <v>0.13</v>
      </c>
      <c r="H29" s="4">
        <f t="shared" si="3"/>
        <v>1250</v>
      </c>
      <c r="I29" s="4" t="str">
        <f t="shared" si="4"/>
        <v>Ok</v>
      </c>
      <c r="J29" s="4">
        <f t="shared" si="6"/>
        <v>8350</v>
      </c>
      <c r="K29" t="str">
        <f t="shared" si="5"/>
        <v>Ok</v>
      </c>
    </row>
    <row r="30" spans="2:11" x14ac:dyDescent="0.3">
      <c r="B30" t="s">
        <v>17</v>
      </c>
      <c r="C30" s="3">
        <v>8450</v>
      </c>
      <c r="D30" s="3">
        <v>1260</v>
      </c>
      <c r="E30" s="4">
        <f t="shared" si="1"/>
        <v>9702.6436781609191</v>
      </c>
      <c r="F30" s="40">
        <v>9600</v>
      </c>
      <c r="G30" s="5">
        <v>0.13</v>
      </c>
      <c r="H30" s="4">
        <f t="shared" si="3"/>
        <v>1250</v>
      </c>
      <c r="I30" s="4" t="str">
        <f t="shared" si="4"/>
        <v>Ok</v>
      </c>
      <c r="J30" s="4">
        <f t="shared" si="6"/>
        <v>8350</v>
      </c>
      <c r="K30" t="str">
        <f t="shared" si="5"/>
        <v>Ok</v>
      </c>
    </row>
    <row r="31" spans="2:11" x14ac:dyDescent="0.3">
      <c r="B31" t="s">
        <v>61</v>
      </c>
      <c r="C31" s="3">
        <v>3540</v>
      </c>
      <c r="D31" s="3">
        <v>530</v>
      </c>
      <c r="E31" s="4">
        <f t="shared" si="1"/>
        <v>4058.9655172413795</v>
      </c>
      <c r="F31" s="40">
        <f t="shared" si="2"/>
        <v>4000</v>
      </c>
      <c r="G31" s="5">
        <v>0.13</v>
      </c>
      <c r="H31" s="4">
        <f t="shared" si="3"/>
        <v>520</v>
      </c>
      <c r="I31" s="4" t="str">
        <f t="shared" si="4"/>
        <v>Ok</v>
      </c>
      <c r="J31" s="4">
        <f>ROUNDUP(F31-H31,-1)</f>
        <v>3480</v>
      </c>
      <c r="K31" t="str">
        <f t="shared" si="5"/>
        <v>Ok</v>
      </c>
    </row>
    <row r="32" spans="2:11" x14ac:dyDescent="0.3">
      <c r="B32" t="s">
        <v>18</v>
      </c>
      <c r="C32" s="3">
        <v>2290</v>
      </c>
      <c r="D32" s="3">
        <v>340</v>
      </c>
      <c r="E32" s="4">
        <f t="shared" si="1"/>
        <v>2622.1839080459772</v>
      </c>
      <c r="F32" s="40">
        <v>2500</v>
      </c>
      <c r="G32" s="5">
        <v>0.13</v>
      </c>
      <c r="H32" s="4">
        <f t="shared" si="3"/>
        <v>330</v>
      </c>
      <c r="I32" s="4" t="str">
        <f t="shared" si="4"/>
        <v>Ok</v>
      </c>
      <c r="J32" s="4">
        <f t="shared" si="6"/>
        <v>2170</v>
      </c>
      <c r="K32" t="str">
        <f t="shared" si="5"/>
        <v>Ok</v>
      </c>
    </row>
  </sheetData>
  <phoneticPr fontId="2" type="noConversion"/>
  <pageMargins left="0.7" right="0.7" top="0.75" bottom="0.75" header="0.3" footer="0.3"/>
  <drawing r:id="rId1"/>
</worksheet>
</file>

<file path=docMetadata/LabelInfo.xml><?xml version="1.0" encoding="utf-8"?>
<clbl:labelList xmlns:clbl="http://schemas.microsoft.com/office/2020/mipLabelMetadata">
  <clbl:label id="{66cf4840-d096-4735-b8ca-3343c17f7dd7}" enabled="1" method="Standard" siteId="{4d67598d-16bc-42f1-a18d-e8fb794aedca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4</vt:i4>
      </vt:variant>
    </vt:vector>
  </HeadingPairs>
  <TitlesOfParts>
    <vt:vector size="4" baseType="lpstr">
      <vt:lpstr>취합</vt:lpstr>
      <vt:lpstr>가격계산_참고</vt:lpstr>
      <vt:lpstr>Raw</vt:lpstr>
      <vt:lpstr>보조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김진훈</dc:creator>
  <cp:lastModifiedBy>조경실</cp:lastModifiedBy>
  <dcterms:created xsi:type="dcterms:W3CDTF">2023-07-04T06:29:11Z</dcterms:created>
  <dcterms:modified xsi:type="dcterms:W3CDTF">2023-10-17T07:14:57Z</dcterms:modified>
</cp:coreProperties>
</file>